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backupFile="1" codeName="ThisWorkbook"/>
  <mc:AlternateContent xmlns:mc="http://schemas.openxmlformats.org/markup-compatibility/2006">
    <mc:Choice Requires="x15">
      <x15ac:absPath xmlns:x15ac="http://schemas.microsoft.com/office/spreadsheetml/2010/11/ac" url="C:\Users\alexi\Documents\scolaire\IPSA\AeroIpsa\SP-02\STABTRAJ\pro24_4_4_new\Alpha_Beta\"/>
    </mc:Choice>
  </mc:AlternateContent>
  <xr:revisionPtr revIDLastSave="0" documentId="13_ncr:1_{184C636A-B6AC-4453-9893-A8EA79EAE733}" xr6:coauthVersionLast="47" xr6:coauthVersionMax="47" xr10:uidLastSave="{00000000-0000-0000-0000-000000000000}"/>
  <bookViews>
    <workbookView xWindow="14400" yWindow="-16200" windowWidth="14400" windowHeight="15750"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Abaco!$G$43:$G$69</definedName>
    <definedName name="Acc_max">Trajecto!$L$25</definedName>
    <definedName name="acc_x">Calculs!$D$4:$D$1004</definedName>
    <definedName name="acc_xz">Calculs!$F$4:$F$1004</definedName>
    <definedName name="acc_z">Calculs!$E$4:$E$1004</definedName>
    <definedName name="Alt_para">Trajecto!$I$28</definedName>
    <definedName name="alt_prop">Abaco!$J$43:$J$69</definedName>
    <definedName name="Alt_rampe">Trajecto!$C$21</definedName>
    <definedName name="Alt_sat">Trajecto!$I$26</definedName>
    <definedName name="Altitude_culmi">Trajecto!$I$27</definedName>
    <definedName name="b_bal">Abaco!$I$43:$I$69</definedName>
    <definedName name="b_prop">Abaco!$H$43:$H$69</definedName>
    <definedName name="Beta">Calculs!$M$4:$M$1004</definedName>
    <definedName name="Beta_rampe">Trajecto!$C$20</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Trajecto!$C$16</definedName>
    <definedName name="Cx_para">Trajecto!$C$30</definedName>
    <definedName name="Cx_satellite">Trajecto!$D$30</definedName>
    <definedName name="D_ail">Stabilito!$C$35</definedName>
    <definedName name="D_can" localSheetId="0">Stabilito!$D$35</definedName>
    <definedName name="D_int" localSheetId="0">Stabilito!$E$34</definedName>
    <definedName name="D_og">Stabilito!$C$24</definedName>
    <definedName name="D_ref">Stabilito!$C$15</definedName>
    <definedName name="D_var">Abaco!$B$43:$B$69</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Trajecto!$C$33</definedName>
    <definedName name="Dt_satellite">Trajecto!$D$33</definedName>
    <definedName name="Dx_para">Trajecto!$C$35</definedName>
    <definedName name="Dx_sat">Trajecto!$D$35</definedName>
    <definedName name="E_ail">Stabilito!$C$31</definedName>
    <definedName name="E_can">Stabilito!$D$31</definedName>
    <definedName name="E_int" localSheetId="0">Stabilito!$E$30</definedName>
    <definedName name="ep_ail">Stabilito!$C$32</definedName>
    <definedName name="ep_can">Stabilito!$D$32</definedName>
    <definedName name="ep_int" localSheetId="0">Stabilito!$E$31</definedName>
    <definedName name="Event">Calculs!$Y$4:$Y$1004</definedName>
    <definedName name="Event_para">Calculs!$Z$4:$Z$1004</definedName>
    <definedName name="Event_sat">Calculs!$AA$4:$AA$1004</definedName>
    <definedName name="f_ail" localSheetId="0">Stabilito!$C$36</definedName>
    <definedName name="f_can" localSheetId="0">Stabilito!$D$36</definedName>
    <definedName name="f_int" localSheetId="0">Stabilito!$E$35</definedName>
    <definedName name="Finesse">Stabilito!$H$27</definedName>
    <definedName name="Forme_ogive">Stabilito!$C$22</definedName>
    <definedName name="g">Info!$E$54</definedName>
    <definedName name="i_P">Calculs!$P$4:$P$1004</definedName>
    <definedName name="I_total">Propu!$D$2</definedName>
    <definedName name="ISP">Propu!$F$2</definedName>
    <definedName name="l_j">Stabilito!$M$6</definedName>
    <definedName name="l_r">Stabilito!$O$6</definedName>
    <definedName name="L_rampe">Trajecto!$C$19</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Propu!$A$317:$A$324</definedName>
    <definedName name="Liste_RC">Propu!$I$317:$J$346</definedName>
    <definedName name="Liste_Type_para">Trajecto!$I$104:$I$106</definedName>
    <definedName name="Long_ogive">Stabilito!$C$23</definedName>
    <definedName name="Long_propu">Propu!$R$2</definedName>
    <definedName name="Long_tot">Stabilito!$C$14</definedName>
    <definedName name="m">Calculs!$S$4:$S$1004</definedName>
    <definedName name="m_ail">Stabilito!$C$28</definedName>
    <definedName name="m_bal">Abaco!$F$43:$F$69</definedName>
    <definedName name="m_can">Stabilito!$D$28</definedName>
    <definedName name="m_int" localSheetId="0">Stabilito!$E$27</definedName>
    <definedName name="m_poudre">Propu!$J$2</definedName>
    <definedName name="m_prop">Abaco!$E$43:$E$69</definedName>
    <definedName name="m_satellite">Trajecto!$D$25</definedName>
    <definedName name="m_tot">Trajecto!$C$11</definedName>
    <definedName name="m_var">Abaco!$D$43:$D$69</definedName>
    <definedName name="m_vide">Trajecto!$C$25</definedName>
    <definedName name="Masse_ail">Controle!$H$63</definedName>
    <definedName name="MassePlein">Stabilito!$M$14</definedName>
    <definedName name="MasseSans">Stabilito!$P$14</definedName>
    <definedName name="MasseVide">Stabilito!$N$14</definedName>
    <definedName name="Matricule">Stabilito!$E$10</definedName>
    <definedName name="Menu_Empennage">Stabilito!$B$111:$B$112</definedName>
    <definedName name="Menu_Lang">Stabilito!$B$94:$B$95</definedName>
    <definedName name="Menu_Ogive">Stabilito!$B$107:$B$109</definedName>
    <definedName name="Menu_sat">Trajecto!$B$105:$B$106</definedName>
    <definedName name="Menu_Transitions">Stabilito!$B$114:$B$115</definedName>
    <definedName name="Menu_Type">Stabilito!$B$97:$B$100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Stabilito!$C$29</definedName>
    <definedName name="n_can">Stabilito!$D$29</definedName>
    <definedName name="n_int" localSheetId="0">Stabilito!$E$28</definedName>
    <definedName name="Nb_diam">Stabilito!$M$4</definedName>
    <definedName name="Nb_sat">Trajecto!$D$24</definedName>
    <definedName name="Nom">Stabilito!$C$8</definedName>
    <definedName name="p_ail">Stabilito!$C$30</definedName>
    <definedName name="p_can">Stabilito!$D$30</definedName>
    <definedName name="p_int" localSheetId="0">Stabilito!$E$29</definedName>
    <definedName name="pas">Calculs!$A$4:$A$1004</definedName>
    <definedName name="Poids">Calculs!$T$4:$T$1004</definedName>
    <definedName name="Portee_balistique">Trajecto!$J$29</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Stabilito!$C$18</definedName>
    <definedName name="Q_ail">Stabilito!$C$33</definedName>
    <definedName name="Q_can">Stabilito!$D$33</definedName>
    <definedName name="Q_int" localSheetId="0">Stabilito!$E$32</definedName>
    <definedName name="Q_var">Abaco!$C$43:$C$69</definedName>
    <definedName name="R_rampe">Calculs!$U$4:$U$1004</definedName>
    <definedName name="Rho">Calculs!$V$4:$V$1004</definedName>
    <definedName name="Rho_moyen">Info!$E$55</definedName>
    <definedName name="S_ail">Controle!$H$64</definedName>
    <definedName name="S_para">Trajecto!$C$29</definedName>
    <definedName name="S_para_croix">Trajecto!$B$48</definedName>
    <definedName name="S_para_rond">Trajecto!$B$56</definedName>
    <definedName name="S_satellite">Trajecto!$D$29</definedName>
    <definedName name="Sref">Trajecto!$C$15</definedName>
    <definedName name="sS">Trajecto!$F$136</definedName>
    <definedName name="t">Calculs!$B$4:$B$1004</definedName>
    <definedName name="T_balistique">Trajecto!$H$29</definedName>
    <definedName name="T_ini">Trajecto!$H$42</definedName>
    <definedName name="T_para">Trajecto!$C$114</definedName>
    <definedName name="T_satellite">Trajecto!$D$27</definedName>
    <definedName name="Temps_culmi">Trajecto!$H$27</definedName>
    <definedName name="Temps_fin_propu">Propu!$X$3</definedName>
    <definedName name="Trainee">Calculs!$W$4:$W$1004</definedName>
    <definedName name="tT_fus">Trajecto!$F$137</definedName>
    <definedName name="tT_sat">Trajecto!$F$154</definedName>
    <definedName name="Type_fusee">Stabilito!$C$11</definedName>
    <definedName name="Type_masquage" localSheetId="5">Stabilito!$C$27</definedName>
    <definedName name="Type_masquage" localSheetId="0">Stabilito!$C$27</definedName>
    <definedName name="Type_propu">Propu!$V$2</definedName>
    <definedName name="V_ini">Trajecto!$K$42</definedName>
    <definedName name="V_ouv_sat">Trajecto!$K$26</definedName>
    <definedName name="V_ouverture">Trajecto!$K$28</definedName>
    <definedName name="V_para">Trajecto!$C$32</definedName>
    <definedName name="V_prop">Abaco!$K$43:$K$69</definedName>
    <definedName name="V_satellite">Trajecto!$D$32</definedName>
    <definedName name="V_vent">Trajecto!$C$31</definedName>
    <definedName name="V_vent_sat">Trajecto!$D$31</definedName>
    <definedName name="Version" localSheetId="0">Stabilito!$Q$37</definedName>
    <definedName name="Version" localSheetId="1">Trajecto!$N$37</definedName>
    <definedName name="Vit_culmi">Trajecto!$K$27</definedName>
    <definedName name="Vit_max">Trajecto!$K$25</definedName>
    <definedName name="vit_x">Calculs!$G$4:$G$1004</definedName>
    <definedName name="vit_xz">Calculs!$I$4:$I$1004</definedName>
    <definedName name="vit_z">Calculs!$H$4:$H$1004</definedName>
    <definedName name="Vsortie_de_rampe">Trajecto!$K$24</definedName>
    <definedName name="X_ail">Stabilito!$C$34</definedName>
    <definedName name="X_can">Stabilito!$D$34</definedName>
    <definedName name="X_culmi">Trajecto!$J$27</definedName>
    <definedName name="X_ini">Trajecto!$J$42</definedName>
    <definedName name="X_int" localSheetId="0">Stabilito!$E$33</definedName>
    <definedName name="X_j">Stabilito!$M$9</definedName>
    <definedName name="X_para">Trajecto!$J$28</definedName>
    <definedName name="X_r">Stabilito!$O$9</definedName>
    <definedName name="X_satellite">Trajecto!$J$26</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Stabilito!$C$19</definedName>
    <definedName name="XpropuVide">Propu!$P$2</definedName>
    <definedName name="Z_ini">Trajecto!$I$42</definedName>
    <definedName name="_xlnm.Print_Area" localSheetId="5">Abaco!$A$1:$M$37</definedName>
    <definedName name="_xlnm.Print_Area" localSheetId="2">Courbes!$A$1:$K$78</definedName>
    <definedName name="_xlnm.Print_Area" localSheetId="0">Stabilito!$A$1:$Q$37</definedName>
    <definedName name="_xlnm.Print_Area" localSheetId="1">Trajecto!$A$1:$N$36</definedName>
    <definedName name="zZ_fus">Trajecto!$F$138</definedName>
    <definedName name="zZ_sat">Trajecto!$F$155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6" l="1"/>
  <c r="B45" i="1" l="1"/>
  <c r="B43" i="1"/>
  <c r="C10" i="6"/>
  <c r="E10" i="6" s="1"/>
  <c r="C10" i="8" s="1"/>
  <c r="L324" i="4"/>
  <c r="L323" i="4"/>
  <c r="L322" i="4"/>
  <c r="L321" i="4"/>
  <c r="L320" i="4"/>
  <c r="L319" i="4"/>
  <c r="L318" i="4"/>
  <c r="L317" i="4"/>
  <c r="R319" i="4"/>
  <c r="R318" i="4"/>
  <c r="R317" i="4"/>
  <c r="R320" i="4"/>
  <c r="N294" i="4"/>
  <c r="X307" i="4"/>
  <c r="W307" i="4"/>
  <c r="V307" i="4"/>
  <c r="U307" i="4"/>
  <c r="T307" i="4"/>
  <c r="S307" i="4"/>
  <c r="R307" i="4"/>
  <c r="Q307" i="4"/>
  <c r="P307" i="4"/>
  <c r="O307" i="4"/>
  <c r="N307" i="4"/>
  <c r="M307" i="4"/>
  <c r="L307" i="4"/>
  <c r="K307" i="4"/>
  <c r="J307" i="4"/>
  <c r="I307" i="4"/>
  <c r="H307" i="4"/>
  <c r="G307" i="4"/>
  <c r="F307" i="4"/>
  <c r="E307" i="4"/>
  <c r="D307" i="4"/>
  <c r="C307" i="4"/>
  <c r="B307" i="4"/>
  <c r="J304" i="4"/>
  <c r="B304" i="4"/>
  <c r="K25" i="7"/>
  <c r="H6" i="7"/>
  <c r="C20" i="6"/>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R103" i="4"/>
  <c r="S103" i="4"/>
  <c r="T103" i="4"/>
  <c r="U103" i="4"/>
  <c r="V103" i="4"/>
  <c r="W103" i="4"/>
  <c r="X103" i="4"/>
  <c r="S98" i="4"/>
  <c r="T98" i="4"/>
  <c r="U98" i="4"/>
  <c r="V98" i="4"/>
  <c r="W98" i="4"/>
  <c r="X98" i="4"/>
  <c r="D98" i="4"/>
  <c r="E98" i="4"/>
  <c r="F98" i="4"/>
  <c r="G98" i="4"/>
  <c r="H98" i="4"/>
  <c r="I98" i="4"/>
  <c r="J98" i="4"/>
  <c r="K98" i="4"/>
  <c r="L98" i="4"/>
  <c r="M98" i="4"/>
  <c r="N98" i="4"/>
  <c r="O98" i="4"/>
  <c r="P98" i="4"/>
  <c r="Q98" i="4"/>
  <c r="R98" i="4"/>
  <c r="C103" i="4"/>
  <c r="C98" i="4"/>
  <c r="X104" i="4"/>
  <c r="W104" i="4"/>
  <c r="V104" i="4"/>
  <c r="U104" i="4"/>
  <c r="T105" i="4" s="1"/>
  <c r="T104" i="4"/>
  <c r="S104" i="4"/>
  <c r="R104" i="4"/>
  <c r="Q104" i="4"/>
  <c r="P104" i="4"/>
  <c r="O104" i="4"/>
  <c r="N105" i="4" s="1"/>
  <c r="N104" i="4"/>
  <c r="M104" i="4"/>
  <c r="L104" i="4"/>
  <c r="K104" i="4"/>
  <c r="J104" i="4"/>
  <c r="I105" i="4" s="1"/>
  <c r="I104" i="4"/>
  <c r="H104" i="4"/>
  <c r="G104" i="4"/>
  <c r="G105" i="4" s="1"/>
  <c r="F104" i="4"/>
  <c r="E104" i="4"/>
  <c r="E105" i="4" s="1"/>
  <c r="D104" i="4"/>
  <c r="C104" i="4"/>
  <c r="B104" i="4"/>
  <c r="L102" i="4"/>
  <c r="H102" i="4"/>
  <c r="B102" i="4"/>
  <c r="X99" i="4"/>
  <c r="W99" i="4"/>
  <c r="V99" i="4"/>
  <c r="U99" i="4"/>
  <c r="T99" i="4"/>
  <c r="S99" i="4"/>
  <c r="R100" i="4" s="1"/>
  <c r="R99" i="4"/>
  <c r="Q99" i="4"/>
  <c r="P99" i="4"/>
  <c r="P100" i="4" s="1"/>
  <c r="O99" i="4"/>
  <c r="N99" i="4"/>
  <c r="M99" i="4"/>
  <c r="L99" i="4"/>
  <c r="K99" i="4"/>
  <c r="J99" i="4"/>
  <c r="J100" i="4" s="1"/>
  <c r="I99" i="4"/>
  <c r="H99" i="4"/>
  <c r="G99" i="4"/>
  <c r="F99" i="4"/>
  <c r="E100" i="4"/>
  <c r="E99" i="4"/>
  <c r="D99" i="4"/>
  <c r="C99" i="4"/>
  <c r="B99" i="4"/>
  <c r="L97" i="4"/>
  <c r="H97" i="4"/>
  <c r="B97" i="4"/>
  <c r="X95" i="4"/>
  <c r="W95" i="4"/>
  <c r="V95" i="4"/>
  <c r="U95" i="4"/>
  <c r="T95" i="4"/>
  <c r="S95" i="4"/>
  <c r="R95" i="4"/>
  <c r="Q95" i="4"/>
  <c r="P95" i="4"/>
  <c r="O95" i="4"/>
  <c r="N95" i="4"/>
  <c r="M95" i="4"/>
  <c r="L95" i="4"/>
  <c r="K95" i="4"/>
  <c r="J95" i="4"/>
  <c r="I95" i="4"/>
  <c r="H95" i="4"/>
  <c r="D92" i="4" s="1"/>
  <c r="F92" i="4" s="1"/>
  <c r="G95" i="4"/>
  <c r="F95" i="4"/>
  <c r="E95" i="4"/>
  <c r="D95" i="4"/>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3" i="7"/>
  <c r="J26" i="7"/>
  <c r="J25" i="7"/>
  <c r="J23" i="7"/>
  <c r="G27" i="7"/>
  <c r="G26" i="7"/>
  <c r="F26" i="7"/>
  <c r="G25" i="7"/>
  <c r="F25" i="7"/>
  <c r="G24" i="7"/>
  <c r="F24" i="7"/>
  <c r="G23" i="7"/>
  <c r="F23" i="7"/>
  <c r="D27" i="7"/>
  <c r="D24" i="7"/>
  <c r="B32" i="6"/>
  <c r="B31" i="6"/>
  <c r="B30" i="6"/>
  <c r="B29" i="6"/>
  <c r="B28" i="6"/>
  <c r="B36" i="6"/>
  <c r="B35" i="6"/>
  <c r="B34" i="6"/>
  <c r="B33" i="6"/>
  <c r="U35" i="7"/>
  <c r="U34" i="7"/>
  <c r="U33" i="7"/>
  <c r="U32" i="7"/>
  <c r="U31" i="7"/>
  <c r="U30" i="7"/>
  <c r="P32" i="7"/>
  <c r="P31" i="7"/>
  <c r="Q34" i="7"/>
  <c r="P29" i="7"/>
  <c r="U20" i="7"/>
  <c r="Q17" i="7"/>
  <c r="U16" i="7"/>
  <c r="U13" i="7"/>
  <c r="Q12" i="7"/>
  <c r="U11" i="7"/>
  <c r="Q3" i="7"/>
  <c r="E17" i="7"/>
  <c r="E16" i="7"/>
  <c r="E15" i="7"/>
  <c r="E13" i="7"/>
  <c r="B53" i="1"/>
  <c r="B51" i="1"/>
  <c r="B56" i="1"/>
  <c r="D29" i="1"/>
  <c r="I69" i="7" s="1"/>
  <c r="D25" i="1"/>
  <c r="E30" i="1" s="1"/>
  <c r="C19" i="1"/>
  <c r="H8" i="7" s="1"/>
  <c r="C161" i="6"/>
  <c r="C162" i="6"/>
  <c r="C160" i="6"/>
  <c r="C159" i="6"/>
  <c r="C158" i="6"/>
  <c r="C26" i="6"/>
  <c r="M21" i="6"/>
  <c r="C140" i="6"/>
  <c r="D25" i="7"/>
  <c r="F110" i="1"/>
  <c r="C114" i="1" s="1"/>
  <c r="C155" i="1"/>
  <c r="C153" i="1"/>
  <c r="C151" i="1"/>
  <c r="N35" i="1"/>
  <c r="C134" i="1"/>
  <c r="B26" i="1"/>
  <c r="J30" i="6"/>
  <c r="E191" i="6" s="1"/>
  <c r="G30" i="6"/>
  <c r="E182" i="6" s="1"/>
  <c r="J29" i="6"/>
  <c r="B188" i="6" s="1"/>
  <c r="G29" i="6"/>
  <c r="J28" i="6"/>
  <c r="C185" i="6" s="1"/>
  <c r="J27" i="6"/>
  <c r="G28" i="6"/>
  <c r="G27" i="6"/>
  <c r="W35" i="6"/>
  <c r="B100" i="6"/>
  <c r="B98" i="6"/>
  <c r="B99"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X231" i="4"/>
  <c r="W231" i="4"/>
  <c r="V231" i="4"/>
  <c r="U231" i="4"/>
  <c r="T231" i="4"/>
  <c r="S231" i="4"/>
  <c r="R231" i="4"/>
  <c r="Q231" i="4"/>
  <c r="P231" i="4"/>
  <c r="O231" i="4"/>
  <c r="N231" i="4"/>
  <c r="M231" i="4"/>
  <c r="L231" i="4"/>
  <c r="K231" i="4"/>
  <c r="J231" i="4"/>
  <c r="I231" i="4"/>
  <c r="H231" i="4"/>
  <c r="G231" i="4"/>
  <c r="D228" i="4" s="1"/>
  <c r="F228" i="4" s="1"/>
  <c r="F231" i="4"/>
  <c r="E231" i="4"/>
  <c r="D231" i="4"/>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s="1"/>
  <c r="R334" i="4"/>
  <c r="R335" i="4"/>
  <c r="R336" i="4"/>
  <c r="R337" i="4"/>
  <c r="R338" i="4"/>
  <c r="R339" i="4"/>
  <c r="S195" i="4"/>
  <c r="T195" i="4"/>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D133" i="4" s="1"/>
  <c r="F133" i="4" s="1"/>
  <c r="E136" i="4"/>
  <c r="F136" i="4"/>
  <c r="G136" i="4"/>
  <c r="H136" i="4"/>
  <c r="I136" i="4"/>
  <c r="J136" i="4"/>
  <c r="K136" i="4"/>
  <c r="L136" i="4"/>
  <c r="M136" i="4"/>
  <c r="N136" i="4"/>
  <c r="O136" i="4"/>
  <c r="P136" i="4"/>
  <c r="Q136" i="4"/>
  <c r="R136" i="4"/>
  <c r="S136" i="4"/>
  <c r="T136" i="4"/>
  <c r="U136" i="4"/>
  <c r="V136" i="4"/>
  <c r="W136" i="4"/>
  <c r="X136" i="4"/>
  <c r="J133" i="4"/>
  <c r="N4" i="3"/>
  <c r="M4" i="3" s="1"/>
  <c r="J4" i="3"/>
  <c r="K4" i="3"/>
  <c r="V4" i="3" s="1"/>
  <c r="I4" i="3"/>
  <c r="B113" i="4"/>
  <c r="C36" i="6"/>
  <c r="M18"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8" i="1"/>
  <c r="C29" i="1" s="1"/>
  <c r="E127" i="7" s="1"/>
  <c r="D31"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I34" i="4"/>
  <c r="J34" i="4"/>
  <c r="K34" i="4"/>
  <c r="L34" i="4"/>
  <c r="M34" i="4"/>
  <c r="N34" i="4"/>
  <c r="O34" i="4"/>
  <c r="P34" i="4"/>
  <c r="Q34" i="4"/>
  <c r="R34" i="4"/>
  <c r="S34" i="4"/>
  <c r="T34" i="4"/>
  <c r="U34" i="4"/>
  <c r="V34" i="4"/>
  <c r="W34" i="4"/>
  <c r="X34" i="4"/>
  <c r="J31" i="4"/>
  <c r="B39" i="4"/>
  <c r="C39" i="4"/>
  <c r="D39" i="4"/>
  <c r="E39" i="4"/>
  <c r="F39" i="4"/>
  <c r="G39" i="4"/>
  <c r="H39" i="4"/>
  <c r="I39" i="4"/>
  <c r="J39" i="4"/>
  <c r="K39" i="4"/>
  <c r="L39" i="4"/>
  <c r="M39" i="4"/>
  <c r="N39" i="4"/>
  <c r="O39" i="4"/>
  <c r="P39" i="4"/>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C54" i="4"/>
  <c r="D54" i="4"/>
  <c r="E54" i="4"/>
  <c r="F54" i="4"/>
  <c r="G54" i="4"/>
  <c r="H54" i="4"/>
  <c r="I54" i="4"/>
  <c r="J54" i="4"/>
  <c r="K54" i="4"/>
  <c r="L54" i="4"/>
  <c r="M54" i="4"/>
  <c r="N54" i="4"/>
  <c r="O54" i="4"/>
  <c r="P54" i="4"/>
  <c r="Q54" i="4"/>
  <c r="D51" i="4" s="1"/>
  <c r="F51" i="4" s="1"/>
  <c r="R54" i="4"/>
  <c r="S54" i="4"/>
  <c r="T54" i="4"/>
  <c r="U54" i="4"/>
  <c r="V54" i="4"/>
  <c r="W54" i="4"/>
  <c r="X54" i="4"/>
  <c r="J51" i="4"/>
  <c r="B59" i="4"/>
  <c r="C59" i="4"/>
  <c r="D59" i="4"/>
  <c r="E59" i="4"/>
  <c r="F59" i="4"/>
  <c r="G59" i="4"/>
  <c r="H59" i="4"/>
  <c r="I59" i="4"/>
  <c r="J59" i="4"/>
  <c r="K59" i="4"/>
  <c r="L59" i="4"/>
  <c r="M59" i="4"/>
  <c r="N59" i="4"/>
  <c r="O59" i="4"/>
  <c r="P59" i="4"/>
  <c r="Q59" i="4"/>
  <c r="R59" i="4"/>
  <c r="S59" i="4"/>
  <c r="T59" i="4"/>
  <c r="U59" i="4"/>
  <c r="V59" i="4"/>
  <c r="W59" i="4"/>
  <c r="X59" i="4"/>
  <c r="D56" i="4" s="1"/>
  <c r="F56" i="4" s="1"/>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I75" i="4"/>
  <c r="J75" i="4"/>
  <c r="K75" i="4"/>
  <c r="L75" i="4"/>
  <c r="M75" i="4"/>
  <c r="N75" i="4"/>
  <c r="O75" i="4"/>
  <c r="D72" i="4" s="1"/>
  <c r="F72" i="4" s="1"/>
  <c r="P75" i="4"/>
  <c r="Q75" i="4"/>
  <c r="R75" i="4"/>
  <c r="S75" i="4"/>
  <c r="T75" i="4"/>
  <c r="U75" i="4"/>
  <c r="V75" i="4"/>
  <c r="W75" i="4"/>
  <c r="X75" i="4"/>
  <c r="J72" i="4"/>
  <c r="B80" i="4"/>
  <c r="C80" i="4"/>
  <c r="D80" i="4"/>
  <c r="E80" i="4"/>
  <c r="F80" i="4"/>
  <c r="G80" i="4"/>
  <c r="H80" i="4"/>
  <c r="I80" i="4"/>
  <c r="J80" i="4"/>
  <c r="K80" i="4"/>
  <c r="L80" i="4"/>
  <c r="M80" i="4"/>
  <c r="N80" i="4"/>
  <c r="O80" i="4"/>
  <c r="P80" i="4"/>
  <c r="Q80" i="4"/>
  <c r="R80" i="4"/>
  <c r="S80" i="4"/>
  <c r="T80" i="4"/>
  <c r="U80" i="4"/>
  <c r="V80" i="4"/>
  <c r="W80" i="4"/>
  <c r="D77" i="4" s="1"/>
  <c r="F77" i="4" s="1"/>
  <c r="X80" i="4"/>
  <c r="J77" i="4"/>
  <c r="C84" i="4"/>
  <c r="B84" i="4"/>
  <c r="B85" i="4" s="1"/>
  <c r="D84" i="4"/>
  <c r="E84" i="4"/>
  <c r="F84" i="4"/>
  <c r="E85" i="4" s="1"/>
  <c r="G84" i="4"/>
  <c r="F85" i="4" s="1"/>
  <c r="H84" i="4"/>
  <c r="H85" i="4" s="1"/>
  <c r="I84" i="4"/>
  <c r="J84" i="4"/>
  <c r="K84" i="4"/>
  <c r="L84" i="4"/>
  <c r="L85" i="4" s="1"/>
  <c r="M84" i="4"/>
  <c r="N84" i="4"/>
  <c r="M85" i="4" s="1"/>
  <c r="O84" i="4"/>
  <c r="P84" i="4"/>
  <c r="Q84" i="4"/>
  <c r="P85" i="4" s="1"/>
  <c r="R84" i="4"/>
  <c r="S84" i="4"/>
  <c r="S85" i="4" s="1"/>
  <c r="T84" i="4"/>
  <c r="U84" i="4"/>
  <c r="V84" i="4"/>
  <c r="W84" i="4"/>
  <c r="V85" i="4" s="1"/>
  <c r="X84" i="4"/>
  <c r="W85" i="4" s="1"/>
  <c r="H82" i="4"/>
  <c r="L82" i="4"/>
  <c r="C89" i="4"/>
  <c r="B89" i="4"/>
  <c r="D89" i="4"/>
  <c r="D90" i="4" s="1"/>
  <c r="E89" i="4"/>
  <c r="F89" i="4"/>
  <c r="G89" i="4"/>
  <c r="F90" i="4" s="1"/>
  <c r="H89" i="4"/>
  <c r="I89" i="4"/>
  <c r="J89" i="4"/>
  <c r="J90" i="4" s="1"/>
  <c r="K89" i="4"/>
  <c r="L89" i="4"/>
  <c r="M89" i="4"/>
  <c r="N89" i="4"/>
  <c r="O89" i="4"/>
  <c r="O90" i="4" s="1"/>
  <c r="P89" i="4"/>
  <c r="Q89" i="4"/>
  <c r="R89" i="4"/>
  <c r="S89" i="4"/>
  <c r="R90" i="4" s="1"/>
  <c r="T89" i="4"/>
  <c r="U89" i="4"/>
  <c r="U90" i="4" s="1"/>
  <c r="V89" i="4"/>
  <c r="V90" i="4" s="1"/>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D138" i="4" s="1"/>
  <c r="F138" i="4" s="1"/>
  <c r="C141" i="4"/>
  <c r="D141" i="4"/>
  <c r="E141" i="4"/>
  <c r="F141" i="4"/>
  <c r="G141" i="4"/>
  <c r="H141" i="4"/>
  <c r="I141" i="4"/>
  <c r="J141" i="4"/>
  <c r="K141" i="4"/>
  <c r="L141" i="4"/>
  <c r="M141" i="4"/>
  <c r="N141" i="4"/>
  <c r="O141" i="4"/>
  <c r="P141" i="4"/>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D153" i="4" s="1"/>
  <c r="F153" i="4" s="1"/>
  <c r="J156" i="4"/>
  <c r="K156" i="4"/>
  <c r="L156" i="4"/>
  <c r="M156" i="4"/>
  <c r="N156" i="4"/>
  <c r="O156" i="4"/>
  <c r="P156" i="4"/>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C176" i="4"/>
  <c r="D176" i="4"/>
  <c r="E176" i="4"/>
  <c r="F176" i="4"/>
  <c r="G176" i="4"/>
  <c r="H176" i="4"/>
  <c r="I176" i="4"/>
  <c r="J176" i="4"/>
  <c r="K176" i="4"/>
  <c r="L176" i="4"/>
  <c r="D173" i="4" s="1"/>
  <c r="F173" i="4" s="1"/>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D183" i="4" s="1"/>
  <c r="F183" i="4" s="1"/>
  <c r="C186" i="4"/>
  <c r="D186" i="4"/>
  <c r="E186" i="4"/>
  <c r="F186" i="4"/>
  <c r="G186" i="4"/>
  <c r="H186" i="4"/>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72" i="4"/>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20" i="6"/>
  <c r="F321" i="4"/>
  <c r="F320" i="4"/>
  <c r="C21" i="5"/>
  <c r="C20" i="5"/>
  <c r="C26" i="5"/>
  <c r="C22" i="5"/>
  <c r="C17" i="5"/>
  <c r="C19" i="5"/>
  <c r="C16" i="5"/>
  <c r="C15" i="5"/>
  <c r="L2" i="6"/>
  <c r="C317" i="4"/>
  <c r="F317" i="4"/>
  <c r="C318" i="4"/>
  <c r="F318" i="4"/>
  <c r="C319" i="4"/>
  <c r="F319" i="4"/>
  <c r="C320" i="4"/>
  <c r="C321" i="4"/>
  <c r="C322" i="4"/>
  <c r="C323" i="4"/>
  <c r="C324" i="4"/>
  <c r="B146" i="2"/>
  <c r="B37" i="1"/>
  <c r="B37" i="6"/>
  <c r="B16" i="8"/>
  <c r="B76" i="2"/>
  <c r="B12" i="8"/>
  <c r="B108" i="1"/>
  <c r="F42" i="5"/>
  <c r="B73" i="8"/>
  <c r="B80" i="8"/>
  <c r="C5" i="8"/>
  <c r="B78" i="8"/>
  <c r="B76" i="8"/>
  <c r="B75" i="8"/>
  <c r="B11" i="8"/>
  <c r="C4" i="8"/>
  <c r="C17" i="8"/>
  <c r="C15" i="8"/>
  <c r="C13" i="8"/>
  <c r="B13" i="8"/>
  <c r="C9" i="8"/>
  <c r="C8" i="8"/>
  <c r="B8" i="8"/>
  <c r="C7" i="8"/>
  <c r="N37" i="6"/>
  <c r="C53" i="5"/>
  <c r="C55" i="5"/>
  <c r="T18" i="6"/>
  <c r="S17" i="6"/>
  <c r="S19" i="6"/>
  <c r="S18" i="6"/>
  <c r="S13" i="6"/>
  <c r="S14" i="6"/>
  <c r="S12" i="6"/>
  <c r="T16" i="6"/>
  <c r="T11" i="6"/>
  <c r="L39" i="6"/>
  <c r="B94"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4" i="5"/>
  <c r="A1" i="4"/>
  <c r="A3" i="4"/>
  <c r="A4" i="4"/>
  <c r="B77" i="2"/>
  <c r="B78" i="2"/>
  <c r="B131" i="2"/>
  <c r="B133" i="2"/>
  <c r="B134" i="2"/>
  <c r="B135" i="2"/>
  <c r="B137" i="2"/>
  <c r="B138" i="2"/>
  <c r="B140" i="2"/>
  <c r="B141" i="2"/>
  <c r="B144" i="2"/>
  <c r="C4" i="1"/>
  <c r="C6" i="1"/>
  <c r="C7" i="1"/>
  <c r="C24" i="1" s="1"/>
  <c r="B8" i="1"/>
  <c r="C8" i="1"/>
  <c r="C9" i="1"/>
  <c r="B11" i="1"/>
  <c r="B12" i="1"/>
  <c r="C12" i="1"/>
  <c r="C14" i="1"/>
  <c r="C18" i="1"/>
  <c r="B19" i="1"/>
  <c r="B20" i="1"/>
  <c r="C23" i="1"/>
  <c r="G23" i="1"/>
  <c r="H23" i="1"/>
  <c r="J23" i="1"/>
  <c r="K23" i="1"/>
  <c r="F24" i="1"/>
  <c r="B25" i="1"/>
  <c r="F25" i="1"/>
  <c r="B27" i="1"/>
  <c r="F26" i="1"/>
  <c r="H26" i="1"/>
  <c r="F28" i="1"/>
  <c r="B31" i="1"/>
  <c r="F29" i="1"/>
  <c r="B32" i="1"/>
  <c r="B33" i="1"/>
  <c r="H33" i="1"/>
  <c r="B34" i="1"/>
  <c r="F34" i="1"/>
  <c r="B35" i="1"/>
  <c r="F35" i="1"/>
  <c r="F36" i="1"/>
  <c r="A40" i="1"/>
  <c r="F40" i="1"/>
  <c r="H40" i="1"/>
  <c r="J40" i="1"/>
  <c r="K40" i="1"/>
  <c r="F42" i="1"/>
  <c r="M42" i="1"/>
  <c r="F43" i="1"/>
  <c r="F44" i="1"/>
  <c r="F45" i="1"/>
  <c r="F47" i="1"/>
  <c r="F48" i="1"/>
  <c r="F49" i="1"/>
  <c r="L49" i="1"/>
  <c r="F50" i="1"/>
  <c r="H50" i="1"/>
  <c r="F51" i="1"/>
  <c r="I51" i="1"/>
  <c r="L51" i="1"/>
  <c r="M51" i="1"/>
  <c r="B103" i="1"/>
  <c r="B110" i="1"/>
  <c r="B111" i="1"/>
  <c r="B112" i="1"/>
  <c r="B113" i="1"/>
  <c r="B114" i="1"/>
  <c r="B118" i="1"/>
  <c r="C143" i="1"/>
  <c r="C145" i="1"/>
  <c r="C147" i="1"/>
  <c r="B149" i="1"/>
  <c r="C4" i="6"/>
  <c r="C6" i="6"/>
  <c r="L6" i="6"/>
  <c r="C7" i="6"/>
  <c r="L7" i="6"/>
  <c r="B8" i="6"/>
  <c r="L8" i="6"/>
  <c r="L9" i="6"/>
  <c r="B12" i="6"/>
  <c r="M11" i="6"/>
  <c r="N11" i="6"/>
  <c r="P11" i="6"/>
  <c r="B13" i="6"/>
  <c r="L12" i="6"/>
  <c r="B14" i="6"/>
  <c r="L13" i="6"/>
  <c r="B15" i="6"/>
  <c r="L14" i="6"/>
  <c r="L15" i="6"/>
  <c r="C17" i="6"/>
  <c r="B19" i="6"/>
  <c r="L18" i="6"/>
  <c r="L19" i="6"/>
  <c r="C21" i="6"/>
  <c r="L20" i="6"/>
  <c r="B22" i="6"/>
  <c r="L21" i="6"/>
  <c r="B23" i="6"/>
  <c r="L22" i="6"/>
  <c r="B24" i="6"/>
  <c r="D26" i="6"/>
  <c r="F26" i="6"/>
  <c r="H26" i="6"/>
  <c r="E27" i="6"/>
  <c r="F28" i="6"/>
  <c r="F29" i="6"/>
  <c r="F30" i="6"/>
  <c r="E31" i="6"/>
  <c r="E32" i="6"/>
  <c r="D36" i="6"/>
  <c r="B92" i="6"/>
  <c r="B97" i="6"/>
  <c r="B103" i="6"/>
  <c r="B104" i="6"/>
  <c r="B105" i="6"/>
  <c r="B107" i="6"/>
  <c r="B108" i="6"/>
  <c r="B109" i="6"/>
  <c r="B114" i="6"/>
  <c r="B115" i="6"/>
  <c r="B117" i="6"/>
  <c r="B118" i="6"/>
  <c r="B119" i="6"/>
  <c r="B121" i="6"/>
  <c r="C124" i="6"/>
  <c r="E124" i="6"/>
  <c r="C125" i="6"/>
  <c r="C126" i="6" s="1"/>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U120" i="4"/>
  <c r="T121" i="4" s="1"/>
  <c r="U85" i="4"/>
  <c r="O85" i="4"/>
  <c r="R216" i="4"/>
  <c r="V115" i="4"/>
  <c r="J87" i="4"/>
  <c r="S90" i="4"/>
  <c r="Q90" i="4"/>
  <c r="K90" i="4"/>
  <c r="I90" i="4"/>
  <c r="G90" i="4"/>
  <c r="T214" i="4"/>
  <c r="U214" i="4" s="1"/>
  <c r="V214" i="4" s="1"/>
  <c r="W214" i="4" s="1"/>
  <c r="D269" i="4"/>
  <c r="F269" i="4" s="1"/>
  <c r="X85" i="4"/>
  <c r="T85" i="4"/>
  <c r="R85" i="4"/>
  <c r="J85" i="4"/>
  <c r="D85" i="4"/>
  <c r="L90" i="4"/>
  <c r="D36" i="4"/>
  <c r="F36" i="4" s="1"/>
  <c r="D31" i="4"/>
  <c r="F31" i="4" s="1"/>
  <c r="U165" i="4"/>
  <c r="T166" i="4" s="1"/>
  <c r="R201" i="4"/>
  <c r="K196" i="4"/>
  <c r="T211" i="4"/>
  <c r="S226" i="4"/>
  <c r="S251" i="4"/>
  <c r="L246" i="4"/>
  <c r="K246" i="4"/>
  <c r="R251" i="4"/>
  <c r="U116" i="4"/>
  <c r="W115" i="4"/>
  <c r="X115" i="4" s="1"/>
  <c r="V116" i="4"/>
  <c r="U211" i="4"/>
  <c r="M246" i="4"/>
  <c r="V250" i="4"/>
  <c r="T251" i="4"/>
  <c r="V211" i="4"/>
  <c r="N246" i="4"/>
  <c r="X245" i="4"/>
  <c r="W211" i="4"/>
  <c r="X211" i="4"/>
  <c r="O246" i="4"/>
  <c r="P246" i="4"/>
  <c r="Q246" i="4"/>
  <c r="R246" i="4"/>
  <c r="S246" i="4"/>
  <c r="T246" i="4"/>
  <c r="U246" i="4"/>
  <c r="X244" i="4"/>
  <c r="V246" i="4"/>
  <c r="W130" i="4"/>
  <c r="V131" i="4" s="1"/>
  <c r="U125" i="4"/>
  <c r="V125" i="4" s="1"/>
  <c r="R241" i="4"/>
  <c r="P14" i="6"/>
  <c r="E11" i="7" s="1"/>
  <c r="C133" i="6"/>
  <c r="D161" i="6"/>
  <c r="E161" i="6" s="1"/>
  <c r="D158" i="6"/>
  <c r="E158" i="6" s="1"/>
  <c r="D162" i="6"/>
  <c r="E162" i="6" s="1"/>
  <c r="D160" i="6"/>
  <c r="E160" i="6" s="1"/>
  <c r="D159" i="6"/>
  <c r="E159" i="6" s="1"/>
  <c r="S206" i="4"/>
  <c r="R206" i="4"/>
  <c r="T206" i="4"/>
  <c r="U206" i="4"/>
  <c r="X205" i="4"/>
  <c r="W206" i="4" s="1"/>
  <c r="V206" i="4"/>
  <c r="X100" i="4"/>
  <c r="L105" i="4"/>
  <c r="C105" i="4"/>
  <c r="K105" i="4"/>
  <c r="O105" i="4"/>
  <c r="S100" i="4"/>
  <c r="U100" i="4"/>
  <c r="H100" i="4"/>
  <c r="Q100" i="4"/>
  <c r="Q105" i="4"/>
  <c r="I38" i="7" l="1"/>
  <c r="B81" i="8"/>
  <c r="L4" i="3"/>
  <c r="H4" i="3"/>
  <c r="E8" i="7"/>
  <c r="C198" i="6"/>
  <c r="C197" i="6"/>
  <c r="B197" i="6" s="1"/>
  <c r="C182" i="6"/>
  <c r="E188" i="6"/>
  <c r="B189" i="6"/>
  <c r="C184" i="6"/>
  <c r="E192" i="6"/>
  <c r="D284" i="4"/>
  <c r="F284" i="4" s="1"/>
  <c r="N194" i="4"/>
  <c r="L196" i="4"/>
  <c r="C90" i="4"/>
  <c r="D67" i="4"/>
  <c r="F67" i="4" s="1"/>
  <c r="D46" i="4"/>
  <c r="F46" i="4" s="1"/>
  <c r="W90" i="4"/>
  <c r="D168" i="4"/>
  <c r="F168" i="4" s="1"/>
  <c r="J82" i="4"/>
  <c r="J105" i="4"/>
  <c r="N90" i="4"/>
  <c r="H69" i="7"/>
  <c r="G100" i="4"/>
  <c r="X246" i="4"/>
  <c r="S191" i="4"/>
  <c r="U251" i="4"/>
  <c r="V120" i="4"/>
  <c r="W120" i="4" s="1"/>
  <c r="X120" i="4" s="1"/>
  <c r="G85" i="4"/>
  <c r="T90" i="4"/>
  <c r="C136" i="6"/>
  <c r="V165" i="4"/>
  <c r="U166" i="4" s="1"/>
  <c r="D143" i="4"/>
  <c r="F143" i="4" s="1"/>
  <c r="Q85" i="4"/>
  <c r="T234" i="4"/>
  <c r="U234" i="4" s="1"/>
  <c r="V234" i="4" s="1"/>
  <c r="W234" i="4" s="1"/>
  <c r="L100" i="4"/>
  <c r="P105" i="4"/>
  <c r="R105" i="4"/>
  <c r="N85" i="4"/>
  <c r="S105" i="4"/>
  <c r="D274" i="4"/>
  <c r="F274" i="4" s="1"/>
  <c r="D218" i="4"/>
  <c r="F218" i="4" s="1"/>
  <c r="M20" i="6"/>
  <c r="K85" i="4"/>
  <c r="X105" i="4"/>
  <c r="B79" i="8"/>
  <c r="C148" i="6"/>
  <c r="D178" i="4"/>
  <c r="F178" i="4" s="1"/>
  <c r="P90" i="4"/>
  <c r="I85" i="4"/>
  <c r="T126" i="4"/>
  <c r="V100" i="4"/>
  <c r="D279" i="4"/>
  <c r="F279" i="4" s="1"/>
  <c r="D258" i="4"/>
  <c r="F258" i="4" s="1"/>
  <c r="M90" i="4"/>
  <c r="D61" i="4"/>
  <c r="F61" i="4" s="1"/>
  <c r="D41" i="4"/>
  <c r="F41" i="4" s="1"/>
  <c r="D158" i="4"/>
  <c r="F158" i="4" s="1"/>
  <c r="H90" i="4"/>
  <c r="B105" i="4"/>
  <c r="U256" i="4"/>
  <c r="E90" i="4"/>
  <c r="B100" i="4"/>
  <c r="D26" i="4"/>
  <c r="F26" i="4" s="1"/>
  <c r="E185" i="6"/>
  <c r="W116" i="4"/>
  <c r="X116" i="4"/>
  <c r="U239" i="4"/>
  <c r="V239" i="4" s="1"/>
  <c r="W239" i="4" s="1"/>
  <c r="X239" i="4" s="1"/>
  <c r="S241" i="4"/>
  <c r="U126" i="4"/>
  <c r="W125" i="4"/>
  <c r="S216" i="4"/>
  <c r="U215" i="4"/>
  <c r="T216" i="4" s="1"/>
  <c r="D309" i="4"/>
  <c r="F309" i="4" s="1"/>
  <c r="D299" i="4"/>
  <c r="F299" i="4" s="1"/>
  <c r="D294" i="4"/>
  <c r="F294" i="4" s="1"/>
  <c r="D208" i="4"/>
  <c r="F208" i="4" s="1"/>
  <c r="B90" i="4"/>
  <c r="U121" i="4"/>
  <c r="U110" i="4"/>
  <c r="J97" i="4"/>
  <c r="F100" i="4"/>
  <c r="N100" i="4"/>
  <c r="T100" i="4"/>
  <c r="V105" i="4"/>
  <c r="T241" i="4"/>
  <c r="C100" i="4"/>
  <c r="W100" i="4"/>
  <c r="H105" i="4"/>
  <c r="U105" i="4"/>
  <c r="D126" i="6"/>
  <c r="W250" i="4"/>
  <c r="X250" i="4" s="1"/>
  <c r="X251" i="4" s="1"/>
  <c r="D289" i="4"/>
  <c r="F289" i="4" s="1"/>
  <c r="X130" i="4"/>
  <c r="W246" i="4"/>
  <c r="C85" i="4"/>
  <c r="B199" i="6"/>
  <c r="D100" i="4"/>
  <c r="J102" i="4"/>
  <c r="F105" i="4"/>
  <c r="M105" i="4"/>
  <c r="E186" i="6"/>
  <c r="E187" i="6"/>
  <c r="J24" i="7"/>
  <c r="D304" i="4"/>
  <c r="F304" i="4" s="1"/>
  <c r="U200" i="4"/>
  <c r="S201" i="4"/>
  <c r="T191" i="4"/>
  <c r="V190" i="4"/>
  <c r="T226" i="4"/>
  <c r="V225" i="4"/>
  <c r="X255" i="4"/>
  <c r="V256" i="4"/>
  <c r="X240" i="4"/>
  <c r="V241" i="4"/>
  <c r="U235" i="4"/>
  <c r="S236" i="4"/>
  <c r="D113" i="4"/>
  <c r="F113" i="4" s="1"/>
  <c r="K100" i="4"/>
  <c r="M100" i="4"/>
  <c r="O100" i="4"/>
  <c r="D105" i="4"/>
  <c r="W105" i="4"/>
  <c r="I100" i="4"/>
  <c r="X206" i="4"/>
  <c r="D203" i="4" s="1"/>
  <c r="F203" i="4" s="1"/>
  <c r="B2" i="4"/>
  <c r="M24" i="6"/>
  <c r="K24" i="7"/>
  <c r="F94" i="7"/>
  <c r="M23" i="6"/>
  <c r="B59" i="8"/>
  <c r="C59" i="8" s="1"/>
  <c r="C15" i="1"/>
  <c r="H51" i="7" s="1"/>
  <c r="B61" i="8"/>
  <c r="C61" i="8" s="1"/>
  <c r="D178" i="6"/>
  <c r="E178" i="6" s="1"/>
  <c r="E56" i="7"/>
  <c r="B63" i="8"/>
  <c r="C63" i="8" s="1"/>
  <c r="E40" i="7"/>
  <c r="O23" i="6"/>
  <c r="O24" i="6"/>
  <c r="B55" i="8"/>
  <c r="C55" i="8" s="1"/>
  <c r="B65" i="8"/>
  <c r="C65" i="8" s="1"/>
  <c r="B69" i="8"/>
  <c r="C69" i="8" s="1"/>
  <c r="B64" i="8"/>
  <c r="C64" i="8" s="1"/>
  <c r="B67" i="8"/>
  <c r="C67" i="8" s="1"/>
  <c r="H27" i="6"/>
  <c r="H45" i="7" s="1"/>
  <c r="C16" i="8"/>
  <c r="B68" i="8"/>
  <c r="C68" i="8" s="1"/>
  <c r="B56" i="8"/>
  <c r="C56" i="8" s="1"/>
  <c r="B58" i="8"/>
  <c r="C58" i="8" s="1"/>
  <c r="B62" i="8"/>
  <c r="C62" i="8" s="1"/>
  <c r="O18" i="6"/>
  <c r="O21" i="6"/>
  <c r="B54" i="8"/>
  <c r="C54" i="8" s="1"/>
  <c r="D26" i="7"/>
  <c r="B53" i="8"/>
  <c r="C53" i="8" s="1"/>
  <c r="B60" i="8"/>
  <c r="C60" i="8" s="1"/>
  <c r="B66" i="8"/>
  <c r="C66" i="8" s="1"/>
  <c r="B52" i="8"/>
  <c r="C52" i="8" s="1"/>
  <c r="B57" i="8"/>
  <c r="C57" i="8" s="1"/>
  <c r="T14" i="6"/>
  <c r="C173" i="6"/>
  <c r="C172" i="6"/>
  <c r="C195" i="6"/>
  <c r="A317" i="4" a="1"/>
  <c r="A341" i="4" s="1"/>
  <c r="D148" i="4"/>
  <c r="F148" i="4" s="1"/>
  <c r="E107" i="7"/>
  <c r="H28" i="1"/>
  <c r="H67" i="7"/>
  <c r="H17" i="7"/>
  <c r="B107" i="1"/>
  <c r="E24" i="1"/>
  <c r="B109" i="1"/>
  <c r="H48" i="1"/>
  <c r="B158" i="1"/>
  <c r="B132" i="1"/>
  <c r="G4" i="3"/>
  <c r="C139" i="6"/>
  <c r="C134" i="6"/>
  <c r="C143" i="6"/>
  <c r="C146" i="6"/>
  <c r="AD4" i="3"/>
  <c r="E190" i="6"/>
  <c r="D32" i="1"/>
  <c r="I68" i="7" s="1"/>
  <c r="C11" i="8"/>
  <c r="AE4" i="3"/>
  <c r="T19" i="6"/>
  <c r="C142" i="6"/>
  <c r="C141" i="6"/>
  <c r="C145" i="6"/>
  <c r="I71" i="7"/>
  <c r="H5" i="7"/>
  <c r="B77" i="8"/>
  <c r="C196" i="6"/>
  <c r="B196" i="6" s="1"/>
  <c r="C147" i="6"/>
  <c r="E42" i="7"/>
  <c r="E193" i="6"/>
  <c r="E189" i="6"/>
  <c r="C183" i="6"/>
  <c r="J90" i="7"/>
  <c r="F118" i="7" s="1"/>
  <c r="C132" i="6"/>
  <c r="F27" i="7"/>
  <c r="H41" i="7"/>
  <c r="C137" i="6"/>
  <c r="C135" i="6"/>
  <c r="C138" i="6"/>
  <c r="E33" i="6"/>
  <c r="C144" i="6"/>
  <c r="T17" i="6"/>
  <c r="E14" i="7"/>
  <c r="B201" i="6"/>
  <c r="C201" i="6" s="1"/>
  <c r="B186" i="6"/>
  <c r="B200" i="6"/>
  <c r="C200" i="6" s="1"/>
  <c r="E183" i="6"/>
  <c r="B187" i="6"/>
  <c r="E184" i="6"/>
  <c r="B202" i="6"/>
  <c r="Q3" i="4"/>
  <c r="Y4" i="4"/>
  <c r="T3" i="4"/>
  <c r="C163" i="6" l="1"/>
  <c r="C166" i="6"/>
  <c r="C167" i="6"/>
  <c r="E4" i="7"/>
  <c r="V215" i="4"/>
  <c r="W215" i="4" s="1"/>
  <c r="V121" i="4"/>
  <c r="U241" i="4"/>
  <c r="D82" i="4"/>
  <c r="F82" i="4" s="1"/>
  <c r="D97" i="4"/>
  <c r="F97" i="4" s="1"/>
  <c r="D243" i="4"/>
  <c r="F243" i="4" s="1"/>
  <c r="W251" i="4"/>
  <c r="W165" i="4"/>
  <c r="D87" i="4"/>
  <c r="F87" i="4" s="1"/>
  <c r="O194" i="4"/>
  <c r="M196" i="4"/>
  <c r="V166" i="4"/>
  <c r="X165" i="4"/>
  <c r="V126" i="4"/>
  <c r="X125" i="4"/>
  <c r="V251" i="4"/>
  <c r="D248" i="4" s="1"/>
  <c r="F248" i="4" s="1"/>
  <c r="X131" i="4"/>
  <c r="W131" i="4"/>
  <c r="D128" i="4" s="1"/>
  <c r="V110" i="4"/>
  <c r="T111" i="4"/>
  <c r="D102" i="4"/>
  <c r="F102" i="4" s="1"/>
  <c r="E126" i="6"/>
  <c r="D127" i="6"/>
  <c r="W121" i="4"/>
  <c r="X121" i="4"/>
  <c r="W225" i="4"/>
  <c r="U226" i="4"/>
  <c r="X256" i="4"/>
  <c r="W256" i="4"/>
  <c r="D253" i="4" s="1"/>
  <c r="T201" i="4"/>
  <c r="V200" i="4"/>
  <c r="T236" i="4"/>
  <c r="V235" i="4"/>
  <c r="X241" i="4"/>
  <c r="W241" i="4"/>
  <c r="U191" i="4"/>
  <c r="W190" i="4"/>
  <c r="D157" i="6"/>
  <c r="D137" i="6"/>
  <c r="W4" i="3"/>
  <c r="D139" i="6"/>
  <c r="D133" i="6"/>
  <c r="E133" i="6" s="1"/>
  <c r="D156" i="6"/>
  <c r="D135" i="6"/>
  <c r="E135" i="6" s="1"/>
  <c r="E52" i="7"/>
  <c r="D140" i="6"/>
  <c r="E30" i="6"/>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51" i="1"/>
  <c r="R28"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D3" i="4"/>
  <c r="B4" i="4"/>
  <c r="R3" i="4"/>
  <c r="H2" i="4"/>
  <c r="H4" i="4"/>
  <c r="M3" i="4"/>
  <c r="H3" i="4"/>
  <c r="N2" i="4"/>
  <c r="D4" i="4"/>
  <c r="N4" i="4"/>
  <c r="E4" i="4"/>
  <c r="F3" i="4"/>
  <c r="K4" i="4"/>
  <c r="Q4" i="4"/>
  <c r="G3" i="4"/>
  <c r="W3" i="4"/>
  <c r="W4" i="4"/>
  <c r="I4" i="4"/>
  <c r="J4" i="4"/>
  <c r="N3" i="4"/>
  <c r="P4" i="4"/>
  <c r="L2" i="4"/>
  <c r="B3" i="4"/>
  <c r="T2" i="4"/>
  <c r="J2" i="4"/>
  <c r="S4" i="4"/>
  <c r="M4" i="4"/>
  <c r="V2" i="4"/>
  <c r="C4" i="4"/>
  <c r="I3" i="4"/>
  <c r="K3" i="4"/>
  <c r="S3" i="4"/>
  <c r="X2" i="4"/>
  <c r="Y3" i="4"/>
  <c r="R4" i="4"/>
  <c r="J3" i="4"/>
  <c r="F4" i="4"/>
  <c r="C3" i="4"/>
  <c r="U3" i="4"/>
  <c r="O3" i="4"/>
  <c r="L4" i="4"/>
  <c r="P2" i="4"/>
  <c r="L3" i="4"/>
  <c r="O4" i="4"/>
  <c r="P3" i="4"/>
  <c r="V4" i="4"/>
  <c r="X3" i="4"/>
  <c r="E3" i="4"/>
  <c r="G4" i="4"/>
  <c r="Z2" i="4"/>
  <c r="R2" i="4"/>
  <c r="T4" i="4"/>
  <c r="U4" i="4"/>
  <c r="X4" i="4"/>
  <c r="V3" i="4"/>
  <c r="D166" i="6" l="1"/>
  <c r="E166" i="6" s="1"/>
  <c r="D167" i="6"/>
  <c r="E167" i="6" s="1"/>
  <c r="D163" i="6"/>
  <c r="E163" i="6" s="1"/>
  <c r="E28" i="6"/>
  <c r="D164" i="6"/>
  <c r="E164" i="6" s="1"/>
  <c r="D165" i="6"/>
  <c r="E165" i="6" s="1"/>
  <c r="A5" i="3"/>
  <c r="B5" i="3" s="1"/>
  <c r="Z5" i="3" s="1"/>
  <c r="N12" i="6"/>
  <c r="N14" i="6"/>
  <c r="I41" i="7" s="1"/>
  <c r="N13" i="6"/>
  <c r="C206" i="6"/>
  <c r="C205" i="6"/>
  <c r="C207" i="6"/>
  <c r="C209" i="6"/>
  <c r="C208" i="6"/>
  <c r="C210" i="6"/>
  <c r="N196" i="4"/>
  <c r="P194" i="4"/>
  <c r="D238" i="4"/>
  <c r="U216" i="4"/>
  <c r="F108" i="1"/>
  <c r="F107" i="1"/>
  <c r="F106" i="1"/>
  <c r="H18" i="7"/>
  <c r="F109" i="1"/>
  <c r="F105" i="1"/>
  <c r="E101" i="7"/>
  <c r="C171" i="6"/>
  <c r="C170" i="6"/>
  <c r="E49" i="7"/>
  <c r="E18" i="7"/>
  <c r="T13" i="6"/>
  <c r="T12" i="6"/>
  <c r="C174" i="6"/>
  <c r="M13" i="6"/>
  <c r="D171" i="6"/>
  <c r="B50" i="8"/>
  <c r="C50" i="8" s="1"/>
  <c r="D174" i="6"/>
  <c r="B45" i="8"/>
  <c r="C45" i="8" s="1"/>
  <c r="B51" i="8"/>
  <c r="C51" i="8" s="1"/>
  <c r="B43" i="8"/>
  <c r="C43" i="8" s="1"/>
  <c r="B44" i="8"/>
  <c r="C44" i="8" s="1"/>
  <c r="B46" i="8"/>
  <c r="C46" i="8" s="1"/>
  <c r="D172" i="6"/>
  <c r="D170" i="6"/>
  <c r="D173" i="6"/>
  <c r="B48" i="8"/>
  <c r="C48" i="8" s="1"/>
  <c r="B49" i="8"/>
  <c r="C49" i="8" s="1"/>
  <c r="B47" i="8"/>
  <c r="C47" i="8" s="1"/>
  <c r="D59" i="8"/>
  <c r="E59" i="8" s="1"/>
  <c r="D68" i="8"/>
  <c r="F68" i="8" s="1"/>
  <c r="I68" i="8" s="1"/>
  <c r="D61" i="8"/>
  <c r="F61" i="8" s="1"/>
  <c r="I61" i="8" s="1"/>
  <c r="D49" i="8"/>
  <c r="E49" i="8" s="1"/>
  <c r="D53" i="8"/>
  <c r="E53" i="8" s="1"/>
  <c r="M14" i="6"/>
  <c r="M12" i="6"/>
  <c r="D54" i="8"/>
  <c r="E54" i="8" s="1"/>
  <c r="H54" i="8" s="1"/>
  <c r="D65" i="8"/>
  <c r="E65" i="8" s="1"/>
  <c r="D66" i="8"/>
  <c r="E66" i="8" s="1"/>
  <c r="H66" i="8" s="1"/>
  <c r="D55" i="8"/>
  <c r="F55" i="8" s="1"/>
  <c r="I55" i="8" s="1"/>
  <c r="D64" i="8"/>
  <c r="E64" i="8" s="1"/>
  <c r="H64" i="8" s="1"/>
  <c r="D44" i="8"/>
  <c r="E44" i="8" s="1"/>
  <c r="D67" i="8"/>
  <c r="E67" i="8" s="1"/>
  <c r="H67" i="8" s="1"/>
  <c r="D58" i="8"/>
  <c r="F58" i="8" s="1"/>
  <c r="I58" i="8" s="1"/>
  <c r="D69" i="8"/>
  <c r="F69" i="8" s="1"/>
  <c r="I69" i="8" s="1"/>
  <c r="D57" i="8"/>
  <c r="E57" i="8" s="1"/>
  <c r="D46" i="8"/>
  <c r="F46" i="8" s="1"/>
  <c r="D62" i="8"/>
  <c r="F62" i="8" s="1"/>
  <c r="I62" i="8" s="1"/>
  <c r="D43" i="8"/>
  <c r="E43" i="8" s="1"/>
  <c r="D50" i="8"/>
  <c r="F50" i="8" s="1"/>
  <c r="D48" i="8"/>
  <c r="F48" i="8" s="1"/>
  <c r="D47" i="8"/>
  <c r="E47" i="8" s="1"/>
  <c r="D45" i="8"/>
  <c r="E45" i="8" s="1"/>
  <c r="D52" i="8"/>
  <c r="F52" i="8" s="1"/>
  <c r="I52" i="8" s="1"/>
  <c r="D63" i="8"/>
  <c r="E63" i="8" s="1"/>
  <c r="H63" i="8" s="1"/>
  <c r="D56" i="8"/>
  <c r="F56" i="8" s="1"/>
  <c r="I56" i="8" s="1"/>
  <c r="D60" i="8"/>
  <c r="E60" i="8" s="1"/>
  <c r="D51" i="8"/>
  <c r="E51" i="8" s="1"/>
  <c r="W166" i="4"/>
  <c r="X166" i="4"/>
  <c r="E127" i="6"/>
  <c r="D128" i="6"/>
  <c r="W110" i="4"/>
  <c r="U111" i="4"/>
  <c r="X126" i="4"/>
  <c r="W126" i="4"/>
  <c r="D123" i="4" s="1"/>
  <c r="D118" i="4"/>
  <c r="F118" i="4" s="1"/>
  <c r="D163" i="4"/>
  <c r="F163" i="4" s="1"/>
  <c r="W235" i="4"/>
  <c r="U236" i="4"/>
  <c r="W200" i="4"/>
  <c r="U201" i="4"/>
  <c r="X215" i="4"/>
  <c r="V216" i="4"/>
  <c r="V226" i="4"/>
  <c r="X225" i="4"/>
  <c r="X190" i="4"/>
  <c r="V191" i="4"/>
  <c r="I31" i="6"/>
  <c r="C154" i="6" s="1"/>
  <c r="E29" i="6"/>
  <c r="C191" i="6"/>
  <c r="D153" i="6"/>
  <c r="C192" i="6"/>
  <c r="C11" i="1" l="1"/>
  <c r="S4" i="3" s="1"/>
  <c r="T4" i="3" s="1"/>
  <c r="U4" i="3" s="1"/>
  <c r="P15" i="6"/>
  <c r="M15" i="6" s="1"/>
  <c r="J42" i="7" s="1"/>
  <c r="E35" i="6"/>
  <c r="O22" i="6" s="1"/>
  <c r="O19" i="6" s="1"/>
  <c r="M22" i="6"/>
  <c r="C164" i="6"/>
  <c r="C165" i="6"/>
  <c r="AC5" i="3"/>
  <c r="P5" i="3"/>
  <c r="Q5" i="3" s="1"/>
  <c r="A6" i="3"/>
  <c r="B6" i="3" s="1"/>
  <c r="AC6" i="3" s="1"/>
  <c r="I50" i="8"/>
  <c r="E50" i="8"/>
  <c r="E110" i="7"/>
  <c r="E48" i="8"/>
  <c r="C25" i="1"/>
  <c r="C32" i="1" s="1"/>
  <c r="K49" i="1" s="1"/>
  <c r="AA5" i="3"/>
  <c r="AD5" i="3"/>
  <c r="F66" i="8"/>
  <c r="I66" i="8" s="1"/>
  <c r="E55" i="8"/>
  <c r="H55" i="8" s="1"/>
  <c r="H65" i="8"/>
  <c r="F65" i="8"/>
  <c r="I65" i="8" s="1"/>
  <c r="F63" i="8"/>
  <c r="I63" i="8" s="1"/>
  <c r="H57" i="8"/>
  <c r="F57" i="8"/>
  <c r="I57" i="8" s="1"/>
  <c r="F64" i="8"/>
  <c r="I64" i="8" s="1"/>
  <c r="F44" i="8"/>
  <c r="I44" i="8" s="1"/>
  <c r="I46" i="8"/>
  <c r="H43" i="8"/>
  <c r="C204" i="6"/>
  <c r="H44" i="8"/>
  <c r="I48" i="8"/>
  <c r="H45" i="8"/>
  <c r="H53" i="8"/>
  <c r="F107" i="7"/>
  <c r="E58" i="7"/>
  <c r="H65" i="7" s="1"/>
  <c r="H60" i="8"/>
  <c r="F53" i="8"/>
  <c r="I53" i="8" s="1"/>
  <c r="H59" i="8"/>
  <c r="J41" i="7"/>
  <c r="E52" i="8"/>
  <c r="H52" i="8" s="1"/>
  <c r="F51" i="8"/>
  <c r="I51" i="8" s="1"/>
  <c r="F67" i="8"/>
  <c r="I67" i="8" s="1"/>
  <c r="E68" i="8"/>
  <c r="H68" i="8" s="1"/>
  <c r="F59" i="8"/>
  <c r="I59" i="8" s="1"/>
  <c r="F49" i="8"/>
  <c r="I49" i="8" s="1"/>
  <c r="E69" i="8"/>
  <c r="H69" i="8" s="1"/>
  <c r="F54" i="8"/>
  <c r="I54" i="8" s="1"/>
  <c r="Q194" i="4"/>
  <c r="O196" i="4"/>
  <c r="H49" i="8"/>
  <c r="C12" i="8"/>
  <c r="E46" i="8"/>
  <c r="H47" i="8"/>
  <c r="H51" i="8"/>
  <c r="F60" i="8"/>
  <c r="I60" i="8" s="1"/>
  <c r="F45" i="8"/>
  <c r="I45" i="8" s="1"/>
  <c r="F43" i="8"/>
  <c r="I43" i="8" s="1"/>
  <c r="E62" i="8"/>
  <c r="H62" i="8" s="1"/>
  <c r="E61" i="8"/>
  <c r="F47" i="8"/>
  <c r="I47" i="8" s="1"/>
  <c r="E56" i="8"/>
  <c r="H56" i="8" s="1"/>
  <c r="E58" i="8"/>
  <c r="V111" i="4"/>
  <c r="X110" i="4"/>
  <c r="E128" i="6"/>
  <c r="D129" i="6"/>
  <c r="X200" i="4"/>
  <c r="V201" i="4"/>
  <c r="W226" i="4"/>
  <c r="X226" i="4"/>
  <c r="X191" i="4"/>
  <c r="W191" i="4"/>
  <c r="W216" i="4"/>
  <c r="X216" i="4"/>
  <c r="V236" i="4"/>
  <c r="X235" i="4"/>
  <c r="C153" i="6"/>
  <c r="H31" i="6" l="1"/>
  <c r="H28" i="6"/>
  <c r="H46" i="7" s="1"/>
  <c r="N15" i="6"/>
  <c r="I42" i="7" s="1"/>
  <c r="H42" i="7"/>
  <c r="E108" i="7"/>
  <c r="D23" i="7"/>
  <c r="M19" i="6"/>
  <c r="AA6" i="3"/>
  <c r="H48" i="8"/>
  <c r="P29" i="1"/>
  <c r="A7" i="3"/>
  <c r="B7" i="3" s="1"/>
  <c r="P7" i="3" s="1"/>
  <c r="Q7" i="3" s="1"/>
  <c r="AD6" i="3"/>
  <c r="P6" i="3"/>
  <c r="Q6" i="3" s="1"/>
  <c r="H71" i="7"/>
  <c r="Z6" i="3"/>
  <c r="H68" i="7"/>
  <c r="H16" i="7"/>
  <c r="P28" i="1"/>
  <c r="H50" i="8"/>
  <c r="C149" i="6"/>
  <c r="H46" i="8"/>
  <c r="D152" i="6"/>
  <c r="H13" i="7"/>
  <c r="H58" i="8"/>
  <c r="R194" i="4"/>
  <c r="P196" i="4"/>
  <c r="F108" i="7"/>
  <c r="D213" i="4"/>
  <c r="F213" i="4" s="1"/>
  <c r="B191" i="6"/>
  <c r="C194" i="6"/>
  <c r="H61" i="8"/>
  <c r="D223" i="4"/>
  <c r="F223" i="4" s="1"/>
  <c r="X111" i="4"/>
  <c r="W111" i="4"/>
  <c r="D108" i="4" s="1"/>
  <c r="D188" i="4"/>
  <c r="F188" i="4" s="1"/>
  <c r="D130" i="6"/>
  <c r="E130" i="6" s="1"/>
  <c r="E129" i="6"/>
  <c r="S28" i="6"/>
  <c r="C193" i="6"/>
  <c r="X236" i="4"/>
  <c r="W236" i="4"/>
  <c r="W201" i="4"/>
  <c r="X201" i="4"/>
  <c r="D198" i="4" s="1"/>
  <c r="D2" i="4"/>
  <c r="C190" i="6" l="1"/>
  <c r="H29" i="6"/>
  <c r="H47" i="7" s="1"/>
  <c r="C155" i="6"/>
  <c r="I29" i="6"/>
  <c r="I47" i="7" s="1"/>
  <c r="C150" i="6"/>
  <c r="B192" i="6"/>
  <c r="B193" i="6"/>
  <c r="H32" i="6"/>
  <c r="I32" i="6"/>
  <c r="C157" i="6"/>
  <c r="C152" i="6"/>
  <c r="C151" i="6"/>
  <c r="G57" i="8"/>
  <c r="G65" i="8"/>
  <c r="G49" i="8"/>
  <c r="G59" i="8"/>
  <c r="G51" i="8"/>
  <c r="G64" i="8"/>
  <c r="G54" i="8"/>
  <c r="G63" i="8"/>
  <c r="G44" i="8"/>
  <c r="G45" i="8"/>
  <c r="G53" i="8"/>
  <c r="G43" i="8"/>
  <c r="G60" i="8"/>
  <c r="G47" i="8"/>
  <c r="G66" i="8"/>
  <c r="G67" i="8"/>
  <c r="G48" i="8"/>
  <c r="K48" i="8" s="1"/>
  <c r="M48" i="8" s="1"/>
  <c r="G52" i="8"/>
  <c r="J52" i="8" s="1"/>
  <c r="G68" i="8"/>
  <c r="J68" i="8" s="1"/>
  <c r="G56" i="8"/>
  <c r="J56" i="8" s="1"/>
  <c r="G50" i="8"/>
  <c r="K50" i="8" s="1"/>
  <c r="G61" i="8"/>
  <c r="K61" i="8" s="1"/>
  <c r="M61" i="8" s="1"/>
  <c r="G46" i="8"/>
  <c r="K46" i="8" s="1"/>
  <c r="M46" i="8" s="1"/>
  <c r="G62" i="8"/>
  <c r="J62" i="8" s="1"/>
  <c r="G58" i="8"/>
  <c r="K58" i="8" s="1"/>
  <c r="M58" i="8" s="1"/>
  <c r="G69" i="8"/>
  <c r="J69" i="8" s="1"/>
  <c r="G55" i="8"/>
  <c r="K55" i="8" s="1"/>
  <c r="M55" i="8" s="1"/>
  <c r="F198" i="4"/>
  <c r="A8" i="3"/>
  <c r="B8" i="3" s="1"/>
  <c r="Z8" i="3" s="1"/>
  <c r="Z7" i="3"/>
  <c r="AD7" i="3"/>
  <c r="AA7" i="3"/>
  <c r="AC7" i="3"/>
  <c r="B190" i="6"/>
  <c r="S194" i="4"/>
  <c r="Q196" i="4"/>
  <c r="F108" i="4"/>
  <c r="D233" i="4"/>
  <c r="F233" i="4" s="1"/>
  <c r="F2" i="4"/>
  <c r="H30" i="6" l="1"/>
  <c r="H48" i="7" s="1"/>
  <c r="B194" i="6"/>
  <c r="H14" i="7"/>
  <c r="S29" i="6"/>
  <c r="I30" i="6"/>
  <c r="I48" i="7" s="1"/>
  <c r="I14" i="7"/>
  <c r="C156" i="6"/>
  <c r="J58" i="8"/>
  <c r="L58" i="8" s="1"/>
  <c r="J61" i="8"/>
  <c r="L61" i="8" s="1"/>
  <c r="J46" i="8"/>
  <c r="L46" i="8" s="1"/>
  <c r="J50" i="8"/>
  <c r="L50" i="8" s="1"/>
  <c r="K62" i="8"/>
  <c r="M62" i="8" s="1"/>
  <c r="K69" i="8"/>
  <c r="M69" i="8" s="1"/>
  <c r="J55" i="8"/>
  <c r="L55" i="8" s="1"/>
  <c r="R5" i="3"/>
  <c r="S5" i="3" s="1"/>
  <c r="T5" i="3" s="1"/>
  <c r="R6" i="3"/>
  <c r="R7" i="3"/>
  <c r="K67" i="8"/>
  <c r="M67" i="8" s="1"/>
  <c r="J67" i="8"/>
  <c r="K43" i="8"/>
  <c r="M43" i="8" s="1"/>
  <c r="J43" i="8"/>
  <c r="J48" i="8"/>
  <c r="L48" i="8" s="1"/>
  <c r="J44" i="8"/>
  <c r="K44" i="8"/>
  <c r="M44" i="8" s="1"/>
  <c r="K54" i="8"/>
  <c r="M54" i="8" s="1"/>
  <c r="J54" i="8"/>
  <c r="K51" i="8"/>
  <c r="M51" i="8" s="1"/>
  <c r="J51" i="8"/>
  <c r="K65" i="8"/>
  <c r="M65" i="8" s="1"/>
  <c r="J65" i="8"/>
  <c r="K66" i="8"/>
  <c r="M66" i="8" s="1"/>
  <c r="J66" i="8"/>
  <c r="J47" i="8"/>
  <c r="K47" i="8"/>
  <c r="M47" i="8" s="1"/>
  <c r="J60" i="8"/>
  <c r="K60" i="8"/>
  <c r="M60" i="8" s="1"/>
  <c r="J53" i="8"/>
  <c r="K53" i="8"/>
  <c r="M53" i="8" s="1"/>
  <c r="K56" i="8"/>
  <c r="M56" i="8" s="1"/>
  <c r="J45" i="8"/>
  <c r="K45" i="8"/>
  <c r="M45" i="8" s="1"/>
  <c r="J63" i="8"/>
  <c r="K63" i="8"/>
  <c r="M63" i="8" s="1"/>
  <c r="K52" i="8"/>
  <c r="M52" i="8" s="1"/>
  <c r="J64" i="8"/>
  <c r="K64" i="8"/>
  <c r="M64" i="8" s="1"/>
  <c r="K68" i="8"/>
  <c r="M68" i="8" s="1"/>
  <c r="J59" i="8"/>
  <c r="K59" i="8"/>
  <c r="K49" i="8"/>
  <c r="M49" i="8" s="1"/>
  <c r="J49" i="8"/>
  <c r="J57" i="8"/>
  <c r="K57" i="8"/>
  <c r="M57" i="8" s="1"/>
  <c r="AC8" i="3"/>
  <c r="A9" i="3"/>
  <c r="B9" i="3" s="1"/>
  <c r="P9" i="3" s="1"/>
  <c r="Q9" i="3" s="1"/>
  <c r="R9" i="3" s="1"/>
  <c r="P8" i="3"/>
  <c r="Q8" i="3" s="1"/>
  <c r="R8" i="3" s="1"/>
  <c r="AD8" i="3"/>
  <c r="AA8" i="3"/>
  <c r="M50" i="8"/>
  <c r="R196" i="4"/>
  <c r="T194" i="4"/>
  <c r="H15" i="7" l="1"/>
  <c r="S30" i="6"/>
  <c r="H33" i="6"/>
  <c r="I15" i="7"/>
  <c r="L49" i="8"/>
  <c r="L65" i="8"/>
  <c r="L67" i="8"/>
  <c r="L51" i="8"/>
  <c r="S6" i="3"/>
  <c r="T6" i="3" s="1"/>
  <c r="L66" i="8"/>
  <c r="L43" i="8"/>
  <c r="L56" i="8"/>
  <c r="L68" i="8"/>
  <c r="L69" i="8"/>
  <c r="L62" i="8"/>
  <c r="L52" i="8"/>
  <c r="L54" i="8"/>
  <c r="L44" i="8"/>
  <c r="L57" i="8"/>
  <c r="L63" i="8"/>
  <c r="L45" i="8"/>
  <c r="L53" i="8"/>
  <c r="L60" i="8"/>
  <c r="L47" i="8"/>
  <c r="L59" i="8"/>
  <c r="M59" i="8"/>
  <c r="L64" i="8"/>
  <c r="AG5" i="3"/>
  <c r="AH5" i="3"/>
  <c r="D5" i="3"/>
  <c r="E5" i="3"/>
  <c r="H5" i="3" s="1"/>
  <c r="K5" i="3" s="1"/>
  <c r="AC9" i="3"/>
  <c r="AA9" i="3"/>
  <c r="AD9" i="3"/>
  <c r="Z9" i="3"/>
  <c r="A10" i="3"/>
  <c r="B10" i="3" s="1"/>
  <c r="A11" i="3" s="1"/>
  <c r="B11" i="3" s="1"/>
  <c r="AC11" i="3" s="1"/>
  <c r="U194" i="4"/>
  <c r="S196" i="4"/>
  <c r="S7" i="3" l="1"/>
  <c r="T7" i="3" s="1"/>
  <c r="V5" i="3"/>
  <c r="AE5" i="3"/>
  <c r="G5" i="3"/>
  <c r="F5" i="3"/>
  <c r="AA10" i="3"/>
  <c r="Z10" i="3"/>
  <c r="AD11" i="3"/>
  <c r="A12" i="3"/>
  <c r="B12" i="3" s="1"/>
  <c r="A13" i="3" s="1"/>
  <c r="B13" i="3" s="1"/>
  <c r="Z11" i="3"/>
  <c r="P11" i="3"/>
  <c r="Q11" i="3" s="1"/>
  <c r="R11" i="3" s="1"/>
  <c r="AA11" i="3"/>
  <c r="AD10" i="3"/>
  <c r="P10" i="3"/>
  <c r="Q10" i="3" s="1"/>
  <c r="R10" i="3" s="1"/>
  <c r="AC10" i="3"/>
  <c r="T196" i="4"/>
  <c r="V194" i="4"/>
  <c r="S8" i="3" l="1"/>
  <c r="T8" i="3" s="1"/>
  <c r="I5" i="3"/>
  <c r="W5" i="3" s="1"/>
  <c r="J5" i="3"/>
  <c r="L5" i="3" s="1"/>
  <c r="M5" i="3"/>
  <c r="N5" i="3" s="1"/>
  <c r="P12" i="3"/>
  <c r="Q12" i="3" s="1"/>
  <c r="R12" i="3" s="1"/>
  <c r="AC12" i="3"/>
  <c r="AA12" i="3"/>
  <c r="AD12" i="3"/>
  <c r="Z12" i="3"/>
  <c r="U196" i="4"/>
  <c r="W194" i="4"/>
  <c r="P13" i="3"/>
  <c r="Q13" i="3" s="1"/>
  <c r="R13" i="3" s="1"/>
  <c r="A14" i="3"/>
  <c r="B14" i="3" s="1"/>
  <c r="AC13" i="3"/>
  <c r="AD13" i="3"/>
  <c r="AA13" i="3"/>
  <c r="Z13" i="3"/>
  <c r="S9" i="3" l="1"/>
  <c r="T9" i="3" s="1"/>
  <c r="U5" i="3"/>
  <c r="D6" i="3" s="1"/>
  <c r="G6" i="3" s="1"/>
  <c r="J6" i="3" s="1"/>
  <c r="AG6" i="3"/>
  <c r="AH6" i="3"/>
  <c r="V196" i="4"/>
  <c r="W196" i="4"/>
  <c r="A15" i="3"/>
  <c r="B15" i="3" s="1"/>
  <c r="P14" i="3"/>
  <c r="Q14" i="3" s="1"/>
  <c r="R14" i="3" s="1"/>
  <c r="AD14" i="3"/>
  <c r="AA14" i="3"/>
  <c r="Z14" i="3"/>
  <c r="AC14" i="3"/>
  <c r="S10" i="3" l="1"/>
  <c r="T10" i="3" s="1"/>
  <c r="E6" i="3"/>
  <c r="H6" i="3" s="1"/>
  <c r="K6" i="3" s="1"/>
  <c r="L6" i="3" s="1"/>
  <c r="D193" i="4"/>
  <c r="AA15" i="3"/>
  <c r="P15" i="3"/>
  <c r="Q15" i="3" s="1"/>
  <c r="R15" i="3" s="1"/>
  <c r="AC15" i="3"/>
  <c r="Z15" i="3"/>
  <c r="AD15" i="3"/>
  <c r="A16" i="3"/>
  <c r="B16" i="3" s="1"/>
  <c r="M6" i="3" l="1"/>
  <c r="N6" i="3" s="1"/>
  <c r="S11" i="3"/>
  <c r="T11" i="3" s="1"/>
  <c r="V6" i="3"/>
  <c r="AE6" i="3"/>
  <c r="F6" i="3"/>
  <c r="I6" i="3"/>
  <c r="F193" i="4"/>
  <c r="AA16" i="3"/>
  <c r="AD16" i="3"/>
  <c r="AC16" i="3"/>
  <c r="P16" i="3"/>
  <c r="Q16" i="3" s="1"/>
  <c r="R16" i="3" s="1"/>
  <c r="Z16" i="3"/>
  <c r="A17" i="3"/>
  <c r="B17" i="3" s="1"/>
  <c r="Y5" i="3"/>
  <c r="U6" i="3" l="1"/>
  <c r="N36" i="1"/>
  <c r="M37" i="6"/>
  <c r="S12" i="3"/>
  <c r="S13" i="3" s="1"/>
  <c r="W6" i="3"/>
  <c r="P17" i="3"/>
  <c r="Q17" i="3" s="1"/>
  <c r="R17" i="3" s="1"/>
  <c r="A18" i="3"/>
  <c r="B18" i="3" s="1"/>
  <c r="AC17" i="3"/>
  <c r="Z17" i="3"/>
  <c r="AD17" i="3"/>
  <c r="AA17" i="3"/>
  <c r="E7" i="3" l="1"/>
  <c r="H7" i="3" s="1"/>
  <c r="K7" i="3" s="1"/>
  <c r="T12" i="3"/>
  <c r="AH7" i="3"/>
  <c r="AG7" i="3"/>
  <c r="D7" i="3"/>
  <c r="G7" i="3" s="1"/>
  <c r="M7" i="3" s="1"/>
  <c r="N7" i="3" s="1"/>
  <c r="S14" i="3"/>
  <c r="T13" i="3"/>
  <c r="AA18" i="3"/>
  <c r="P18" i="3"/>
  <c r="Q18" i="3" s="1"/>
  <c r="R18" i="3" s="1"/>
  <c r="AC18" i="3"/>
  <c r="A19" i="3"/>
  <c r="B19" i="3" s="1"/>
  <c r="AD18" i="3"/>
  <c r="Z18" i="3"/>
  <c r="J7" i="3" l="1"/>
  <c r="L7" i="3" s="1"/>
  <c r="I7" i="3"/>
  <c r="F7" i="3"/>
  <c r="S15" i="3"/>
  <c r="T14" i="3"/>
  <c r="P19" i="3"/>
  <c r="Q19" i="3" s="1"/>
  <c r="R19" i="3" s="1"/>
  <c r="A20" i="3"/>
  <c r="B20" i="3" s="1"/>
  <c r="Z19" i="3"/>
  <c r="AD19" i="3"/>
  <c r="AA19" i="3"/>
  <c r="AC19" i="3"/>
  <c r="V7" i="3"/>
  <c r="AE7" i="3"/>
  <c r="W7" i="3" l="1"/>
  <c r="AH8" i="3" s="1"/>
  <c r="T15" i="3"/>
  <c r="S16" i="3"/>
  <c r="U7" i="3"/>
  <c r="Y6" i="3"/>
  <c r="P20" i="3"/>
  <c r="Q20" i="3" s="1"/>
  <c r="R20" i="3" s="1"/>
  <c r="A21" i="3"/>
  <c r="B21" i="3" s="1"/>
  <c r="AA20" i="3"/>
  <c r="Z20" i="3"/>
  <c r="AD20" i="3"/>
  <c r="AC20" i="3"/>
  <c r="AG8" i="3" l="1"/>
  <c r="D8" i="3"/>
  <c r="G8" i="3" s="1"/>
  <c r="T16" i="3"/>
  <c r="S17" i="3"/>
  <c r="E8" i="3"/>
  <c r="H8" i="3" s="1"/>
  <c r="K8" i="3" s="1"/>
  <c r="AD21" i="3"/>
  <c r="P21" i="3"/>
  <c r="Q21" i="3" s="1"/>
  <c r="R21" i="3" s="1"/>
  <c r="AC21" i="3"/>
  <c r="AA21" i="3"/>
  <c r="Z21" i="3"/>
  <c r="A22" i="3"/>
  <c r="B22" i="3" s="1"/>
  <c r="T17" i="3" l="1"/>
  <c r="S18" i="3"/>
  <c r="F8" i="3"/>
  <c r="AC22" i="3"/>
  <c r="A23" i="3"/>
  <c r="B23" i="3" s="1"/>
  <c r="AD22" i="3"/>
  <c r="AA22" i="3"/>
  <c r="Z22" i="3"/>
  <c r="P22" i="3"/>
  <c r="Q22" i="3" s="1"/>
  <c r="R22" i="3" s="1"/>
  <c r="I8" i="3"/>
  <c r="J8" i="3"/>
  <c r="M8" i="3"/>
  <c r="N8" i="3" s="1"/>
  <c r="V8" i="3"/>
  <c r="AE8" i="3"/>
  <c r="S19" i="3" l="1"/>
  <c r="T18" i="3"/>
  <c r="W8" i="3"/>
  <c r="A24" i="3"/>
  <c r="B24" i="3" s="1"/>
  <c r="Z23" i="3"/>
  <c r="AA23" i="3"/>
  <c r="AC23" i="3"/>
  <c r="AD23" i="3"/>
  <c r="P23" i="3"/>
  <c r="Q23" i="3" s="1"/>
  <c r="R23" i="3" s="1"/>
  <c r="L8" i="3"/>
  <c r="S20" i="3" l="1"/>
  <c r="T19" i="3"/>
  <c r="U8" i="3"/>
  <c r="D9" i="3" s="1"/>
  <c r="AH9" i="3"/>
  <c r="AG9" i="3"/>
  <c r="Y7" i="3"/>
  <c r="AA24" i="3"/>
  <c r="Z24" i="3"/>
  <c r="AC24" i="3"/>
  <c r="AD24" i="3"/>
  <c r="A25" i="3"/>
  <c r="B25" i="3" s="1"/>
  <c r="P24" i="3"/>
  <c r="Q24" i="3" s="1"/>
  <c r="R24" i="3" s="1"/>
  <c r="S21" i="3" l="1"/>
  <c r="T20" i="3"/>
  <c r="E9" i="3"/>
  <c r="H9" i="3" s="1"/>
  <c r="K9" i="3" s="1"/>
  <c r="P25" i="3"/>
  <c r="Q25" i="3" s="1"/>
  <c r="R25" i="3" s="1"/>
  <c r="Z25" i="3"/>
  <c r="A26" i="3"/>
  <c r="B26" i="3" s="1"/>
  <c r="AC25" i="3"/>
  <c r="AA25" i="3"/>
  <c r="AD25" i="3"/>
  <c r="G9" i="3"/>
  <c r="T21" i="3" l="1"/>
  <c r="S22" i="3"/>
  <c r="F9" i="3"/>
  <c r="AD26" i="3"/>
  <c r="P26" i="3"/>
  <c r="Q26" i="3" s="1"/>
  <c r="R26" i="3" s="1"/>
  <c r="A27" i="3"/>
  <c r="B27" i="3" s="1"/>
  <c r="AA26" i="3"/>
  <c r="Z26" i="3"/>
  <c r="AC26" i="3"/>
  <c r="V9" i="3"/>
  <c r="AE9" i="3"/>
  <c r="I9" i="3"/>
  <c r="J9" i="3"/>
  <c r="M9" i="3"/>
  <c r="N9" i="3" s="1"/>
  <c r="T22" i="3" l="1"/>
  <c r="S23" i="3"/>
  <c r="W9" i="3"/>
  <c r="P27" i="3"/>
  <c r="Q27" i="3" s="1"/>
  <c r="R27" i="3" s="1"/>
  <c r="Z27" i="3"/>
  <c r="AA27" i="3"/>
  <c r="AD27" i="3"/>
  <c r="A28" i="3"/>
  <c r="B28" i="3" s="1"/>
  <c r="AC27" i="3"/>
  <c r="L9" i="3"/>
  <c r="S24" i="3" l="1"/>
  <c r="T23" i="3"/>
  <c r="Z28" i="3"/>
  <c r="P28" i="3"/>
  <c r="Q28" i="3" s="1"/>
  <c r="R28" i="3" s="1"/>
  <c r="A29" i="3"/>
  <c r="B29" i="3" s="1"/>
  <c r="AA28" i="3"/>
  <c r="AC28" i="3"/>
  <c r="AD28" i="3"/>
  <c r="AH10" i="3"/>
  <c r="U9" i="3"/>
  <c r="E10" i="3" s="1"/>
  <c r="H10" i="3" s="1"/>
  <c r="AG10" i="3"/>
  <c r="Y8" i="3"/>
  <c r="S25" i="3" l="1"/>
  <c r="T24" i="3"/>
  <c r="K10" i="3"/>
  <c r="AC29" i="3"/>
  <c r="P29" i="3"/>
  <c r="Q29" i="3" s="1"/>
  <c r="R29" i="3" s="1"/>
  <c r="A30" i="3"/>
  <c r="B30" i="3" s="1"/>
  <c r="AD29" i="3"/>
  <c r="Z29" i="3"/>
  <c r="AA29" i="3"/>
  <c r="D10" i="3"/>
  <c r="T25" i="3" l="1"/>
  <c r="S26" i="3"/>
  <c r="Z30" i="3"/>
  <c r="P30" i="3"/>
  <c r="Q30" i="3" s="1"/>
  <c r="R30" i="3" s="1"/>
  <c r="AC30" i="3"/>
  <c r="AA30" i="3"/>
  <c r="AD30" i="3"/>
  <c r="A31" i="3"/>
  <c r="B31" i="3" s="1"/>
  <c r="F10" i="3"/>
  <c r="G10" i="3"/>
  <c r="V10" i="3"/>
  <c r="AE10" i="3"/>
  <c r="T26" i="3" l="1"/>
  <c r="S27" i="3"/>
  <c r="I10" i="3"/>
  <c r="W10" i="3" s="1"/>
  <c r="J10" i="3"/>
  <c r="M10" i="3"/>
  <c r="N10" i="3" s="1"/>
  <c r="AC31" i="3"/>
  <c r="A32" i="3"/>
  <c r="B32" i="3" s="1"/>
  <c r="Z31" i="3"/>
  <c r="P31" i="3"/>
  <c r="Q31" i="3" s="1"/>
  <c r="R31" i="3" s="1"/>
  <c r="AD31" i="3"/>
  <c r="AA31" i="3"/>
  <c r="S28" i="3" l="1"/>
  <c r="T27" i="3"/>
  <c r="A33" i="3"/>
  <c r="B33" i="3" s="1"/>
  <c r="Z32" i="3"/>
  <c r="P32" i="3"/>
  <c r="Q32" i="3" s="1"/>
  <c r="R32" i="3" s="1"/>
  <c r="AD32" i="3"/>
  <c r="AC32" i="3"/>
  <c r="AA32" i="3"/>
  <c r="L10" i="3"/>
  <c r="S29" i="3" l="1"/>
  <c r="T28" i="3"/>
  <c r="P33" i="3"/>
  <c r="Q33" i="3" s="1"/>
  <c r="R33" i="3" s="1"/>
  <c r="AC33" i="3"/>
  <c r="A34" i="3"/>
  <c r="B34" i="3" s="1"/>
  <c r="AA33" i="3"/>
  <c r="Z33" i="3"/>
  <c r="AD33" i="3"/>
  <c r="AG11" i="3"/>
  <c r="AH11" i="3"/>
  <c r="U10" i="3"/>
  <c r="E11" i="3" s="1"/>
  <c r="H11" i="3" s="1"/>
  <c r="Y9" i="3"/>
  <c r="T29" i="3" l="1"/>
  <c r="S30" i="3"/>
  <c r="K11" i="3"/>
  <c r="Z34" i="3"/>
  <c r="P34" i="3"/>
  <c r="Q34" i="3" s="1"/>
  <c r="R34" i="3" s="1"/>
  <c r="AC34" i="3"/>
  <c r="A35" i="3"/>
  <c r="B35" i="3" s="1"/>
  <c r="AA34" i="3"/>
  <c r="D11" i="3"/>
  <c r="S31" i="3" l="1"/>
  <c r="T30" i="3"/>
  <c r="V11" i="3"/>
  <c r="AE11" i="3"/>
  <c r="A36" i="3"/>
  <c r="B36" i="3" s="1"/>
  <c r="Z35" i="3"/>
  <c r="AD35" i="3"/>
  <c r="AA35" i="3"/>
  <c r="AC35" i="3"/>
  <c r="P35" i="3"/>
  <c r="Q35" i="3" s="1"/>
  <c r="R35" i="3" s="1"/>
  <c r="F11" i="3"/>
  <c r="G11" i="3"/>
  <c r="T31" i="3" l="1"/>
  <c r="S32" i="3"/>
  <c r="AD36" i="3"/>
  <c r="AA36" i="3"/>
  <c r="P36" i="3"/>
  <c r="Q36" i="3" s="1"/>
  <c r="R36" i="3" s="1"/>
  <c r="Z36" i="3"/>
  <c r="A37" i="3"/>
  <c r="B37" i="3" s="1"/>
  <c r="AC36" i="3"/>
  <c r="I11" i="3"/>
  <c r="W11" i="3" s="1"/>
  <c r="J11" i="3"/>
  <c r="M11" i="3"/>
  <c r="N11" i="3" s="1"/>
  <c r="T32" i="3" l="1"/>
  <c r="S33" i="3"/>
  <c r="AD37" i="3"/>
  <c r="Z37" i="3"/>
  <c r="AA37" i="3"/>
  <c r="AC37" i="3"/>
  <c r="P37" i="3"/>
  <c r="Q37" i="3" s="1"/>
  <c r="R37" i="3" s="1"/>
  <c r="A38" i="3"/>
  <c r="B38" i="3" s="1"/>
  <c r="L11" i="3"/>
  <c r="S34" i="3" l="1"/>
  <c r="T33" i="3"/>
  <c r="P38" i="3"/>
  <c r="Q38" i="3" s="1"/>
  <c r="R38" i="3" s="1"/>
  <c r="A39" i="3"/>
  <c r="B39" i="3" s="1"/>
  <c r="AC38" i="3"/>
  <c r="AA38" i="3"/>
  <c r="AD38" i="3"/>
  <c r="Z38" i="3"/>
  <c r="AH12" i="3"/>
  <c r="U11" i="3"/>
  <c r="E12" i="3" s="1"/>
  <c r="H12" i="3" s="1"/>
  <c r="AG12" i="3"/>
  <c r="Y10" i="3"/>
  <c r="S35" i="3" l="1"/>
  <c r="T34" i="3"/>
  <c r="D12" i="3"/>
  <c r="G12" i="3" s="1"/>
  <c r="K12" i="3"/>
  <c r="AC39" i="3"/>
  <c r="P39" i="3"/>
  <c r="Q39" i="3" s="1"/>
  <c r="R39" i="3" s="1"/>
  <c r="AD39" i="3"/>
  <c r="Z39" i="3"/>
  <c r="A40" i="3"/>
  <c r="B40" i="3" s="1"/>
  <c r="AA39" i="3"/>
  <c r="T35" i="3" l="1"/>
  <c r="S36" i="3"/>
  <c r="F12" i="3"/>
  <c r="P40" i="3"/>
  <c r="Q40" i="3" s="1"/>
  <c r="R40" i="3" s="1"/>
  <c r="AA40" i="3"/>
  <c r="A41" i="3"/>
  <c r="B41" i="3" s="1"/>
  <c r="AC40" i="3"/>
  <c r="Z40" i="3"/>
  <c r="AD40" i="3"/>
  <c r="V12" i="3"/>
  <c r="AE12" i="3"/>
  <c r="I12" i="3"/>
  <c r="J12" i="3"/>
  <c r="M12" i="3"/>
  <c r="N12" i="3" s="1"/>
  <c r="T36" i="3" l="1"/>
  <c r="S37" i="3"/>
  <c r="W12" i="3"/>
  <c r="P41" i="3"/>
  <c r="Q41" i="3" s="1"/>
  <c r="R41" i="3" s="1"/>
  <c r="AC41" i="3"/>
  <c r="A42" i="3"/>
  <c r="B42" i="3" s="1"/>
  <c r="AA41" i="3"/>
  <c r="Z41" i="3"/>
  <c r="AD41" i="3"/>
  <c r="L12" i="3"/>
  <c r="S38" i="3" l="1"/>
  <c r="T37" i="3"/>
  <c r="AG13" i="3"/>
  <c r="U12" i="3"/>
  <c r="E13" i="3" s="1"/>
  <c r="H13" i="3" s="1"/>
  <c r="AH13" i="3"/>
  <c r="Y11" i="3"/>
  <c r="P42" i="3"/>
  <c r="Q42" i="3" s="1"/>
  <c r="R42" i="3" s="1"/>
  <c r="Z42" i="3"/>
  <c r="AA42" i="3"/>
  <c r="A43" i="3"/>
  <c r="B43" i="3" s="1"/>
  <c r="AD42" i="3"/>
  <c r="AC42" i="3"/>
  <c r="S39" i="3" l="1"/>
  <c r="T38" i="3"/>
  <c r="D13" i="3"/>
  <c r="F13" i="3" s="1"/>
  <c r="K13" i="3"/>
  <c r="AC43" i="3"/>
  <c r="P43" i="3"/>
  <c r="Q43" i="3" s="1"/>
  <c r="R43" i="3" s="1"/>
  <c r="AD43" i="3"/>
  <c r="Z43" i="3"/>
  <c r="A44" i="3"/>
  <c r="B44" i="3" s="1"/>
  <c r="AA43" i="3"/>
  <c r="S40" i="3" l="1"/>
  <c r="T39" i="3"/>
  <c r="G13" i="3"/>
  <c r="I13" i="3" s="1"/>
  <c r="AA44" i="3"/>
  <c r="P44" i="3"/>
  <c r="Q44" i="3" s="1"/>
  <c r="R44" i="3" s="1"/>
  <c r="A45" i="3"/>
  <c r="B45" i="3" s="1"/>
  <c r="Z44" i="3"/>
  <c r="AC44" i="3"/>
  <c r="V13" i="3"/>
  <c r="AE13" i="3"/>
  <c r="S41" i="3" l="1"/>
  <c r="T40" i="3"/>
  <c r="J13" i="3"/>
  <c r="L13" i="3" s="1"/>
  <c r="M13" i="3"/>
  <c r="N13" i="3" s="1"/>
  <c r="P45" i="3"/>
  <c r="Q45" i="3" s="1"/>
  <c r="R45" i="3" s="1"/>
  <c r="A46" i="3"/>
  <c r="B46" i="3" s="1"/>
  <c r="AA45" i="3"/>
  <c r="AD45" i="3"/>
  <c r="Z45" i="3"/>
  <c r="AC45" i="3"/>
  <c r="W13" i="3"/>
  <c r="T41" i="3" l="1"/>
  <c r="S42" i="3"/>
  <c r="P46" i="3"/>
  <c r="Q46" i="3" s="1"/>
  <c r="R46" i="3" s="1"/>
  <c r="AA46" i="3"/>
  <c r="AD46" i="3"/>
  <c r="A47" i="3"/>
  <c r="B47" i="3" s="1"/>
  <c r="Z46" i="3"/>
  <c r="AC46" i="3"/>
  <c r="AH14" i="3"/>
  <c r="AG14" i="3"/>
  <c r="U13" i="3"/>
  <c r="D14" i="3" s="1"/>
  <c r="Y12" i="3"/>
  <c r="S43" i="3" l="1"/>
  <c r="T42" i="3"/>
  <c r="E14" i="3"/>
  <c r="H14" i="3" s="1"/>
  <c r="K14" i="3" s="1"/>
  <c r="AD47" i="3"/>
  <c r="AA47" i="3"/>
  <c r="P47" i="3"/>
  <c r="Q47" i="3" s="1"/>
  <c r="R47" i="3" s="1"/>
  <c r="A48" i="3"/>
  <c r="B48" i="3" s="1"/>
  <c r="Z47" i="3"/>
  <c r="AC47" i="3"/>
  <c r="G14" i="3"/>
  <c r="S44" i="3" l="1"/>
  <c r="T43" i="3"/>
  <c r="F14" i="3"/>
  <c r="AC48" i="3"/>
  <c r="Z48" i="3"/>
  <c r="AA48" i="3"/>
  <c r="A49" i="3"/>
  <c r="B49" i="3" s="1"/>
  <c r="AD48" i="3"/>
  <c r="P48" i="3"/>
  <c r="Q48" i="3" s="1"/>
  <c r="R48" i="3" s="1"/>
  <c r="V14" i="3"/>
  <c r="AE14" i="3"/>
  <c r="I14" i="3"/>
  <c r="J14" i="3"/>
  <c r="M14" i="3"/>
  <c r="N14" i="3" s="1"/>
  <c r="S45" i="3" l="1"/>
  <c r="T44" i="3"/>
  <c r="A50" i="3"/>
  <c r="B50" i="3" s="1"/>
  <c r="P49" i="3"/>
  <c r="Q49" i="3" s="1"/>
  <c r="R49" i="3" s="1"/>
  <c r="AC49" i="3"/>
  <c r="AD49" i="3"/>
  <c r="AA49" i="3"/>
  <c r="Z49" i="3"/>
  <c r="W14" i="3"/>
  <c r="L14" i="3"/>
  <c r="T45" i="3" l="1"/>
  <c r="S46" i="3"/>
  <c r="U14" i="3"/>
  <c r="E15" i="3" s="1"/>
  <c r="H15" i="3" s="1"/>
  <c r="AG15" i="3"/>
  <c r="AH15" i="3"/>
  <c r="Y13" i="3"/>
  <c r="Z50" i="3"/>
  <c r="AA50" i="3"/>
  <c r="P50" i="3"/>
  <c r="Q50" i="3" s="1"/>
  <c r="R50" i="3" s="1"/>
  <c r="A51" i="3"/>
  <c r="B51" i="3" s="1"/>
  <c r="AD50" i="3"/>
  <c r="AC50" i="3"/>
  <c r="T46" i="3" l="1"/>
  <c r="S47" i="3"/>
  <c r="D15" i="3"/>
  <c r="F15" i="3" s="1"/>
  <c r="AD51" i="3"/>
  <c r="A52" i="3"/>
  <c r="B52" i="3" s="1"/>
  <c r="P51" i="3"/>
  <c r="Q51" i="3" s="1"/>
  <c r="R51" i="3" s="1"/>
  <c r="AA51" i="3"/>
  <c r="Z51" i="3"/>
  <c r="AC51" i="3"/>
  <c r="K15" i="3"/>
  <c r="T47" i="3" l="1"/>
  <c r="S48" i="3"/>
  <c r="G15" i="3"/>
  <c r="I15" i="3" s="1"/>
  <c r="A53" i="3"/>
  <c r="B53" i="3" s="1"/>
  <c r="AC52" i="3"/>
  <c r="P52" i="3"/>
  <c r="Q52" i="3" s="1"/>
  <c r="R52" i="3" s="1"/>
  <c r="AA52" i="3"/>
  <c r="AD52" i="3"/>
  <c r="Z52" i="3"/>
  <c r="V15" i="3"/>
  <c r="AE15" i="3"/>
  <c r="T48" i="3" l="1"/>
  <c r="S49" i="3"/>
  <c r="J15" i="3"/>
  <c r="L15" i="3" s="1"/>
  <c r="M15" i="3"/>
  <c r="N15" i="3" s="1"/>
  <c r="A54" i="3"/>
  <c r="B54" i="3" s="1"/>
  <c r="AD53" i="3"/>
  <c r="P53" i="3"/>
  <c r="Q53" i="3" s="1"/>
  <c r="R53" i="3" s="1"/>
  <c r="AA53" i="3"/>
  <c r="AC53" i="3"/>
  <c r="Z53" i="3"/>
  <c r="W15" i="3"/>
  <c r="S50" i="3" l="1"/>
  <c r="T49" i="3"/>
  <c r="AC54" i="3"/>
  <c r="P54" i="3"/>
  <c r="Q54" i="3" s="1"/>
  <c r="R54" i="3" s="1"/>
  <c r="A55" i="3"/>
  <c r="B55" i="3" s="1"/>
  <c r="AA54" i="3"/>
  <c r="Z54" i="3"/>
  <c r="AD54" i="3"/>
  <c r="U15" i="3"/>
  <c r="D16" i="3" s="1"/>
  <c r="AG16" i="3"/>
  <c r="AH16" i="3"/>
  <c r="Y14" i="3"/>
  <c r="S51" i="3" l="1"/>
  <c r="T50" i="3"/>
  <c r="E16" i="3"/>
  <c r="H16" i="3" s="1"/>
  <c r="K16" i="3" s="1"/>
  <c r="G16" i="3"/>
  <c r="P55" i="3"/>
  <c r="Q55" i="3" s="1"/>
  <c r="R55" i="3" s="1"/>
  <c r="A56" i="3"/>
  <c r="B56" i="3" s="1"/>
  <c r="AC55" i="3"/>
  <c r="AA55" i="3"/>
  <c r="Z55" i="3"/>
  <c r="AD55" i="3"/>
  <c r="T51" i="3" l="1"/>
  <c r="S52" i="3"/>
  <c r="F16" i="3"/>
  <c r="P56" i="3"/>
  <c r="Q56" i="3" s="1"/>
  <c r="R56" i="3" s="1"/>
  <c r="AA56" i="3"/>
  <c r="A57" i="3"/>
  <c r="B57" i="3" s="1"/>
  <c r="AD56" i="3"/>
  <c r="Z56" i="3"/>
  <c r="AC56" i="3"/>
  <c r="I16" i="3"/>
  <c r="J16" i="3"/>
  <c r="M16" i="3"/>
  <c r="N16" i="3" s="1"/>
  <c r="V16" i="3"/>
  <c r="AE16" i="3"/>
  <c r="S53" i="3" l="1"/>
  <c r="T52" i="3"/>
  <c r="AD57" i="3"/>
  <c r="AA57" i="3"/>
  <c r="A58" i="3"/>
  <c r="B58" i="3" s="1"/>
  <c r="AC57" i="3"/>
  <c r="P57" i="3"/>
  <c r="Q57" i="3" s="1"/>
  <c r="R57" i="3" s="1"/>
  <c r="Z57" i="3"/>
  <c r="L16" i="3"/>
  <c r="W16" i="3"/>
  <c r="S54" i="3" l="1"/>
  <c r="T53" i="3"/>
  <c r="Z58" i="3"/>
  <c r="AD58" i="3"/>
  <c r="AA58" i="3"/>
  <c r="P58" i="3"/>
  <c r="Q58" i="3" s="1"/>
  <c r="R58" i="3" s="1"/>
  <c r="A59" i="3"/>
  <c r="B59" i="3" s="1"/>
  <c r="AC58" i="3"/>
  <c r="U16" i="3"/>
  <c r="D17" i="3" s="1"/>
  <c r="AG17" i="3"/>
  <c r="AH17" i="3"/>
  <c r="Y15" i="3"/>
  <c r="S55" i="3" l="1"/>
  <c r="T54" i="3"/>
  <c r="G17" i="3"/>
  <c r="P59" i="3"/>
  <c r="Q59" i="3" s="1"/>
  <c r="R59" i="3" s="1"/>
  <c r="A60" i="3"/>
  <c r="B60" i="3" s="1"/>
  <c r="AC59" i="3"/>
  <c r="AD59" i="3"/>
  <c r="Z59" i="3"/>
  <c r="AA59" i="3"/>
  <c r="E17" i="3"/>
  <c r="H17" i="3" s="1"/>
  <c r="S56" i="3" l="1"/>
  <c r="T55" i="3"/>
  <c r="AC60" i="3"/>
  <c r="AD60" i="3"/>
  <c r="Z60" i="3"/>
  <c r="P60" i="3"/>
  <c r="Q60" i="3" s="1"/>
  <c r="R60" i="3" s="1"/>
  <c r="A61" i="3"/>
  <c r="B61" i="3" s="1"/>
  <c r="AA60" i="3"/>
  <c r="F17" i="3"/>
  <c r="I17" i="3"/>
  <c r="J17" i="3"/>
  <c r="M17" i="3"/>
  <c r="N17" i="3" s="1"/>
  <c r="K17" i="3"/>
  <c r="S57" i="3" l="1"/>
  <c r="T56" i="3"/>
  <c r="A62" i="3"/>
  <c r="B62" i="3" s="1"/>
  <c r="Z61" i="3"/>
  <c r="AD61" i="3"/>
  <c r="AC61" i="3"/>
  <c r="P61" i="3"/>
  <c r="Q61" i="3" s="1"/>
  <c r="R61" i="3" s="1"/>
  <c r="AA61" i="3"/>
  <c r="V17" i="3"/>
  <c r="W17" i="3" s="1"/>
  <c r="AE17" i="3"/>
  <c r="L17" i="3"/>
  <c r="S58" i="3" l="1"/>
  <c r="T57" i="3"/>
  <c r="AD62" i="3"/>
  <c r="P62" i="3"/>
  <c r="Q62" i="3" s="1"/>
  <c r="R62" i="3" s="1"/>
  <c r="Z62" i="3"/>
  <c r="AA62" i="3"/>
  <c r="AC62" i="3"/>
  <c r="A63" i="3"/>
  <c r="B63" i="3" s="1"/>
  <c r="U17" i="3"/>
  <c r="E18" i="3" s="1"/>
  <c r="H18" i="3" s="1"/>
  <c r="AG18" i="3"/>
  <c r="AH18" i="3"/>
  <c r="Y16" i="3"/>
  <c r="S59" i="3" l="1"/>
  <c r="T58" i="3"/>
  <c r="D18" i="3"/>
  <c r="G18" i="3" s="1"/>
  <c r="K18" i="3"/>
  <c r="AC63" i="3"/>
  <c r="AA63" i="3"/>
  <c r="A64" i="3"/>
  <c r="B64" i="3" s="1"/>
  <c r="AD63" i="3"/>
  <c r="P63" i="3"/>
  <c r="Q63" i="3" s="1"/>
  <c r="R63" i="3" s="1"/>
  <c r="Z63" i="3"/>
  <c r="T59" i="3" l="1"/>
  <c r="S60" i="3"/>
  <c r="F18" i="3"/>
  <c r="I18" i="3"/>
  <c r="J18" i="3"/>
  <c r="M18" i="3"/>
  <c r="N18" i="3" s="1"/>
  <c r="A65" i="3"/>
  <c r="B65" i="3" s="1"/>
  <c r="Z64" i="3"/>
  <c r="AA64" i="3"/>
  <c r="AC64" i="3"/>
  <c r="AD64" i="3"/>
  <c r="P64" i="3"/>
  <c r="Q64" i="3" s="1"/>
  <c r="R64" i="3" s="1"/>
  <c r="V18" i="3"/>
  <c r="AE18" i="3"/>
  <c r="T60" i="3" l="1"/>
  <c r="S61" i="3"/>
  <c r="Z65" i="3"/>
  <c r="AA65" i="3"/>
  <c r="A66" i="3"/>
  <c r="B66" i="3" s="1"/>
  <c r="AC65" i="3"/>
  <c r="P65" i="3"/>
  <c r="Q65" i="3" s="1"/>
  <c r="R65" i="3" s="1"/>
  <c r="AD65" i="3"/>
  <c r="L18" i="3"/>
  <c r="W18" i="3"/>
  <c r="T61" i="3" l="1"/>
  <c r="S62" i="3"/>
  <c r="A67" i="3"/>
  <c r="B67" i="3" s="1"/>
  <c r="P66" i="3"/>
  <c r="Q66" i="3" s="1"/>
  <c r="R66" i="3" s="1"/>
  <c r="AC66" i="3"/>
  <c r="Z66" i="3"/>
  <c r="AD66" i="3"/>
  <c r="AA66" i="3"/>
  <c r="U18" i="3"/>
  <c r="D19" i="3" s="1"/>
  <c r="AH19" i="3"/>
  <c r="AG19" i="3"/>
  <c r="Y17" i="3"/>
  <c r="S63" i="3" l="1"/>
  <c r="T62" i="3"/>
  <c r="G19" i="3"/>
  <c r="E19" i="3"/>
  <c r="H19" i="3" s="1"/>
  <c r="AA67" i="3"/>
  <c r="Z67" i="3"/>
  <c r="AD67" i="3"/>
  <c r="AC67" i="3"/>
  <c r="P67" i="3"/>
  <c r="Q67" i="3" s="1"/>
  <c r="R67" i="3" s="1"/>
  <c r="A68" i="3"/>
  <c r="B68" i="3" s="1"/>
  <c r="T63" i="3" l="1"/>
  <c r="S64" i="3"/>
  <c r="F19" i="3"/>
  <c r="AD68" i="3"/>
  <c r="AC68" i="3"/>
  <c r="Z68" i="3"/>
  <c r="AA68" i="3"/>
  <c r="A69" i="3"/>
  <c r="B69" i="3" s="1"/>
  <c r="P68" i="3"/>
  <c r="Q68" i="3" s="1"/>
  <c r="R68" i="3" s="1"/>
  <c r="I19" i="3"/>
  <c r="J19" i="3"/>
  <c r="M19" i="3"/>
  <c r="N19" i="3" s="1"/>
  <c r="K19" i="3"/>
  <c r="S65" i="3" l="1"/>
  <c r="T64" i="3"/>
  <c r="Z69" i="3"/>
  <c r="AC69" i="3"/>
  <c r="P69" i="3"/>
  <c r="Q69" i="3" s="1"/>
  <c r="R69" i="3" s="1"/>
  <c r="AA69" i="3"/>
  <c r="AD69" i="3"/>
  <c r="A70" i="3"/>
  <c r="B70" i="3" s="1"/>
  <c r="V19" i="3"/>
  <c r="W19" i="3" s="1"/>
  <c r="AE19" i="3"/>
  <c r="L19" i="3"/>
  <c r="T65" i="3" l="1"/>
  <c r="S66" i="3"/>
  <c r="AH20" i="3"/>
  <c r="U19" i="3"/>
  <c r="E20" i="3" s="1"/>
  <c r="H20" i="3" s="1"/>
  <c r="AG20" i="3"/>
  <c r="Y18" i="3"/>
  <c r="A71" i="3"/>
  <c r="B71" i="3" s="1"/>
  <c r="AC70" i="3"/>
  <c r="AA70" i="3"/>
  <c r="AD70" i="3"/>
  <c r="P70" i="3"/>
  <c r="Q70" i="3" s="1"/>
  <c r="R70" i="3" s="1"/>
  <c r="Z70" i="3"/>
  <c r="S67" i="3" l="1"/>
  <c r="T66" i="3"/>
  <c r="D20" i="3"/>
  <c r="G20" i="3" s="1"/>
  <c r="K20" i="3"/>
  <c r="AA71" i="3"/>
  <c r="A72" i="3"/>
  <c r="B72" i="3" s="1"/>
  <c r="AC71" i="3"/>
  <c r="Z71" i="3"/>
  <c r="AD71" i="3"/>
  <c r="P71" i="3"/>
  <c r="Q71" i="3" s="1"/>
  <c r="R71" i="3" s="1"/>
  <c r="S68" i="3" l="1"/>
  <c r="T67" i="3"/>
  <c r="F20" i="3"/>
  <c r="A73" i="3"/>
  <c r="B73" i="3" s="1"/>
  <c r="Z72" i="3"/>
  <c r="P72" i="3"/>
  <c r="Q72" i="3" s="1"/>
  <c r="R72" i="3" s="1"/>
  <c r="AD72" i="3"/>
  <c r="AA72" i="3"/>
  <c r="AC72" i="3"/>
  <c r="V20" i="3"/>
  <c r="AE20" i="3"/>
  <c r="I20" i="3"/>
  <c r="J20" i="3"/>
  <c r="M20" i="3"/>
  <c r="N20" i="3" s="1"/>
  <c r="S69" i="3" l="1"/>
  <c r="T68" i="3"/>
  <c r="AC73" i="3"/>
  <c r="A74" i="3"/>
  <c r="B74" i="3" s="1"/>
  <c r="Z73" i="3"/>
  <c r="AA73" i="3"/>
  <c r="AD73" i="3"/>
  <c r="P73" i="3"/>
  <c r="Q73" i="3" s="1"/>
  <c r="R73" i="3" s="1"/>
  <c r="L20" i="3"/>
  <c r="W20" i="3"/>
  <c r="T69" i="3" l="1"/>
  <c r="S70" i="3"/>
  <c r="AD74" i="3"/>
  <c r="P74" i="3"/>
  <c r="Q74" i="3" s="1"/>
  <c r="R74" i="3" s="1"/>
  <c r="AC74" i="3"/>
  <c r="A75" i="3"/>
  <c r="B75" i="3" s="1"/>
  <c r="AA74" i="3"/>
  <c r="Z74" i="3"/>
  <c r="AG21" i="3"/>
  <c r="U20" i="3"/>
  <c r="E21" i="3" s="1"/>
  <c r="H21" i="3" s="1"/>
  <c r="AH21" i="3"/>
  <c r="Y19" i="3"/>
  <c r="T70" i="3" l="1"/>
  <c r="S71" i="3"/>
  <c r="D21" i="3"/>
  <c r="G21" i="3" s="1"/>
  <c r="K21" i="3"/>
  <c r="P75" i="3"/>
  <c r="Q75" i="3" s="1"/>
  <c r="R75" i="3" s="1"/>
  <c r="Z75" i="3"/>
  <c r="A76" i="3"/>
  <c r="B76" i="3" s="1"/>
  <c r="AA75" i="3"/>
  <c r="AC75" i="3"/>
  <c r="AD75" i="3"/>
  <c r="S72" i="3" l="1"/>
  <c r="T71" i="3"/>
  <c r="F21" i="3"/>
  <c r="AC76" i="3"/>
  <c r="Z76" i="3"/>
  <c r="AD76" i="3"/>
  <c r="AA76" i="3"/>
  <c r="A77" i="3"/>
  <c r="B77" i="3" s="1"/>
  <c r="P76" i="3"/>
  <c r="Q76" i="3" s="1"/>
  <c r="R76" i="3" s="1"/>
  <c r="I21" i="3"/>
  <c r="J21" i="3"/>
  <c r="M21" i="3"/>
  <c r="N21" i="3" s="1"/>
  <c r="V21" i="3"/>
  <c r="AE21" i="3"/>
  <c r="S73" i="3" l="1"/>
  <c r="T72" i="3"/>
  <c r="W21" i="3"/>
  <c r="A78" i="3"/>
  <c r="B78" i="3" s="1"/>
  <c r="AA77" i="3"/>
  <c r="Z77" i="3"/>
  <c r="P77" i="3"/>
  <c r="Q77" i="3" s="1"/>
  <c r="R77" i="3" s="1"/>
  <c r="AD77" i="3"/>
  <c r="AC77" i="3"/>
  <c r="L21" i="3"/>
  <c r="T73" i="3" l="1"/>
  <c r="S74" i="3"/>
  <c r="AG22" i="3"/>
  <c r="U21" i="3"/>
  <c r="D22" i="3" s="1"/>
  <c r="AH22" i="3"/>
  <c r="Y20" i="3"/>
  <c r="A79" i="3"/>
  <c r="B79" i="3" s="1"/>
  <c r="AD78" i="3"/>
  <c r="P78" i="3"/>
  <c r="Q78" i="3" s="1"/>
  <c r="R78" i="3" s="1"/>
  <c r="AC78" i="3"/>
  <c r="AA78" i="3"/>
  <c r="Z78" i="3"/>
  <c r="S75" i="3" l="1"/>
  <c r="T74" i="3"/>
  <c r="G22" i="3"/>
  <c r="E22" i="3"/>
  <c r="H22" i="3" s="1"/>
  <c r="P79" i="3"/>
  <c r="Q79" i="3" s="1"/>
  <c r="R79" i="3" s="1"/>
  <c r="A80" i="3"/>
  <c r="B80" i="3" s="1"/>
  <c r="Z79" i="3"/>
  <c r="AC79" i="3"/>
  <c r="AA79" i="3"/>
  <c r="AD79" i="3"/>
  <c r="T75" i="3" l="1"/>
  <c r="S76" i="3"/>
  <c r="AA80" i="3"/>
  <c r="A81" i="3"/>
  <c r="B81" i="3" s="1"/>
  <c r="AD80" i="3"/>
  <c r="AC80" i="3"/>
  <c r="P80" i="3"/>
  <c r="Q80" i="3" s="1"/>
  <c r="R80" i="3" s="1"/>
  <c r="Z80" i="3"/>
  <c r="I22" i="3"/>
  <c r="J22" i="3"/>
  <c r="M22" i="3"/>
  <c r="N22" i="3" s="1"/>
  <c r="K22" i="3"/>
  <c r="F22" i="3"/>
  <c r="S77" i="3" l="1"/>
  <c r="T76" i="3"/>
  <c r="L22" i="3"/>
  <c r="Z81" i="3"/>
  <c r="AC81" i="3"/>
  <c r="A82" i="3"/>
  <c r="B82" i="3" s="1"/>
  <c r="AA81" i="3"/>
  <c r="AD81" i="3"/>
  <c r="P81" i="3"/>
  <c r="Q81" i="3" s="1"/>
  <c r="R81" i="3" s="1"/>
  <c r="V22" i="3"/>
  <c r="W22" i="3" s="1"/>
  <c r="AE22" i="3"/>
  <c r="T77" i="3" l="1"/>
  <c r="S78" i="3"/>
  <c r="U22" i="3"/>
  <c r="E23" i="3" s="1"/>
  <c r="H23" i="3" s="1"/>
  <c r="AH23" i="3"/>
  <c r="AG23" i="3"/>
  <c r="Y21" i="3"/>
  <c r="A83" i="3"/>
  <c r="B83" i="3" s="1"/>
  <c r="P82" i="3"/>
  <c r="Q82" i="3" s="1"/>
  <c r="R82" i="3" s="1"/>
  <c r="AC82" i="3"/>
  <c r="AA82" i="3"/>
  <c r="Z82" i="3"/>
  <c r="AD82" i="3"/>
  <c r="S79" i="3" l="1"/>
  <c r="T78" i="3"/>
  <c r="AA83" i="3"/>
  <c r="AC83" i="3"/>
  <c r="P83" i="3"/>
  <c r="Q83" i="3" s="1"/>
  <c r="R83" i="3" s="1"/>
  <c r="Z83" i="3"/>
  <c r="AD83" i="3"/>
  <c r="A84" i="3"/>
  <c r="B84" i="3" s="1"/>
  <c r="K23" i="3"/>
  <c r="D23" i="3"/>
  <c r="S80" i="3" l="1"/>
  <c r="T79" i="3"/>
  <c r="AA84" i="3"/>
  <c r="Z84" i="3"/>
  <c r="A85" i="3"/>
  <c r="B85" i="3" s="1"/>
  <c r="P84" i="3"/>
  <c r="Q84" i="3" s="1"/>
  <c r="R84" i="3" s="1"/>
  <c r="AD84" i="3"/>
  <c r="AC84" i="3"/>
  <c r="V23" i="3"/>
  <c r="AE23" i="3"/>
  <c r="F23" i="3"/>
  <c r="G23" i="3"/>
  <c r="T80" i="3" l="1"/>
  <c r="S81" i="3"/>
  <c r="A86" i="3"/>
  <c r="B86" i="3" s="1"/>
  <c r="P85" i="3"/>
  <c r="Q85" i="3" s="1"/>
  <c r="R85" i="3" s="1"/>
  <c r="AA85" i="3"/>
  <c r="AC85" i="3"/>
  <c r="Z85" i="3"/>
  <c r="AD85" i="3"/>
  <c r="I23" i="3"/>
  <c r="W23" i="3" s="1"/>
  <c r="J23" i="3"/>
  <c r="M23" i="3"/>
  <c r="N23" i="3" s="1"/>
  <c r="T81" i="3" l="1"/>
  <c r="S82" i="3"/>
  <c r="AC86" i="3"/>
  <c r="Z86" i="3"/>
  <c r="P86" i="3"/>
  <c r="Q86" i="3" s="1"/>
  <c r="R86" i="3" s="1"/>
  <c r="AA86" i="3"/>
  <c r="A87" i="3"/>
  <c r="B87" i="3" s="1"/>
  <c r="AD86" i="3"/>
  <c r="L23" i="3"/>
  <c r="T82" i="3" l="1"/>
  <c r="S83" i="3"/>
  <c r="P87" i="3"/>
  <c r="Q87" i="3" s="1"/>
  <c r="R87" i="3" s="1"/>
  <c r="Z87" i="3"/>
  <c r="A88" i="3"/>
  <c r="B88" i="3" s="1"/>
  <c r="AD87" i="3"/>
  <c r="AC87" i="3"/>
  <c r="AA87" i="3"/>
  <c r="AG24" i="3"/>
  <c r="AH24" i="3"/>
  <c r="U23" i="3"/>
  <c r="E24" i="3" s="1"/>
  <c r="H24" i="3" s="1"/>
  <c r="Y22" i="3"/>
  <c r="T83" i="3" l="1"/>
  <c r="S84" i="3"/>
  <c r="D24" i="3"/>
  <c r="G24" i="3" s="1"/>
  <c r="A89" i="3"/>
  <c r="B89" i="3" s="1"/>
  <c r="P88" i="3"/>
  <c r="Q88" i="3" s="1"/>
  <c r="R88" i="3" s="1"/>
  <c r="AC88" i="3"/>
  <c r="Z88" i="3"/>
  <c r="AA88" i="3"/>
  <c r="AD88" i="3"/>
  <c r="K24" i="3"/>
  <c r="T84" i="3" l="1"/>
  <c r="S85" i="3"/>
  <c r="F24" i="3"/>
  <c r="AD89" i="3"/>
  <c r="AC89" i="3"/>
  <c r="P89" i="3"/>
  <c r="Q89" i="3" s="1"/>
  <c r="R89" i="3" s="1"/>
  <c r="Z89" i="3"/>
  <c r="AA89" i="3"/>
  <c r="A90" i="3"/>
  <c r="B90" i="3" s="1"/>
  <c r="V24" i="3"/>
  <c r="AE24" i="3"/>
  <c r="I24" i="3"/>
  <c r="J24" i="3"/>
  <c r="M24" i="3"/>
  <c r="N24" i="3" s="1"/>
  <c r="T85" i="3" l="1"/>
  <c r="S86" i="3"/>
  <c r="A91" i="3"/>
  <c r="B91" i="3" s="1"/>
  <c r="P90" i="3"/>
  <c r="Q90" i="3" s="1"/>
  <c r="R90" i="3" s="1"/>
  <c r="AC90" i="3"/>
  <c r="Z90" i="3"/>
  <c r="AA90" i="3"/>
  <c r="AD90" i="3"/>
  <c r="L24" i="3"/>
  <c r="W24" i="3"/>
  <c r="T86" i="3" l="1"/>
  <c r="S87" i="3"/>
  <c r="P91" i="3"/>
  <c r="Q91" i="3" s="1"/>
  <c r="R91" i="3" s="1"/>
  <c r="AD91" i="3"/>
  <c r="AA91" i="3"/>
  <c r="A92" i="3"/>
  <c r="B92" i="3" s="1"/>
  <c r="AC91" i="3"/>
  <c r="Z91" i="3"/>
  <c r="AH25" i="3"/>
  <c r="AG25" i="3"/>
  <c r="U24" i="3"/>
  <c r="D25" i="3" s="1"/>
  <c r="Y23" i="3"/>
  <c r="S88" i="3" l="1"/>
  <c r="T87" i="3"/>
  <c r="E25" i="3"/>
  <c r="H25" i="3" s="1"/>
  <c r="K25" i="3" s="1"/>
  <c r="G25" i="3"/>
  <c r="AA92" i="3"/>
  <c r="AD92" i="3"/>
  <c r="AC92" i="3"/>
  <c r="P92" i="3"/>
  <c r="Q92" i="3" s="1"/>
  <c r="R92" i="3" s="1"/>
  <c r="Z92" i="3"/>
  <c r="A93" i="3"/>
  <c r="B93" i="3" s="1"/>
  <c r="T88" i="3" l="1"/>
  <c r="S89" i="3"/>
  <c r="F25" i="3"/>
  <c r="Z93" i="3"/>
  <c r="AA93" i="3"/>
  <c r="P93" i="3"/>
  <c r="Q93" i="3" s="1"/>
  <c r="R93" i="3" s="1"/>
  <c r="A94" i="3"/>
  <c r="B94" i="3" s="1"/>
  <c r="AD93" i="3"/>
  <c r="AC93" i="3"/>
  <c r="I25" i="3"/>
  <c r="J25" i="3"/>
  <c r="M25" i="3"/>
  <c r="N25" i="3" s="1"/>
  <c r="V25" i="3"/>
  <c r="AE25" i="3"/>
  <c r="S90" i="3" l="1"/>
  <c r="T89" i="3"/>
  <c r="W25" i="3"/>
  <c r="AC94" i="3"/>
  <c r="Z94" i="3"/>
  <c r="AA94" i="3"/>
  <c r="AD94" i="3"/>
  <c r="A95" i="3"/>
  <c r="B95" i="3" s="1"/>
  <c r="P94" i="3"/>
  <c r="Q94" i="3" s="1"/>
  <c r="R94" i="3" s="1"/>
  <c r="L25" i="3"/>
  <c r="S91" i="3" l="1"/>
  <c r="T90" i="3"/>
  <c r="U25" i="3"/>
  <c r="E26" i="3" s="1"/>
  <c r="H26" i="3" s="1"/>
  <c r="AH26" i="3"/>
  <c r="AG26" i="3"/>
  <c r="Y24" i="3"/>
  <c r="Z95" i="3"/>
  <c r="A96" i="3"/>
  <c r="B96" i="3" s="1"/>
  <c r="P95" i="3"/>
  <c r="Q95" i="3" s="1"/>
  <c r="R95" i="3" s="1"/>
  <c r="AC95" i="3"/>
  <c r="AD95" i="3"/>
  <c r="AA95" i="3"/>
  <c r="T91" i="3" l="1"/>
  <c r="S92" i="3"/>
  <c r="D26" i="3"/>
  <c r="G26" i="3" s="1"/>
  <c r="K26" i="3"/>
  <c r="Z96" i="3"/>
  <c r="P96" i="3"/>
  <c r="Q96" i="3" s="1"/>
  <c r="R96" i="3" s="1"/>
  <c r="AC96" i="3"/>
  <c r="AA96" i="3"/>
  <c r="AD96" i="3"/>
  <c r="A97" i="3"/>
  <c r="B97" i="3" s="1"/>
  <c r="S93" i="3" l="1"/>
  <c r="T92" i="3"/>
  <c r="F26" i="3"/>
  <c r="I26" i="3"/>
  <c r="J26" i="3"/>
  <c r="M26" i="3"/>
  <c r="N26" i="3" s="1"/>
  <c r="A98" i="3"/>
  <c r="B98" i="3" s="1"/>
  <c r="P97" i="3"/>
  <c r="Q97" i="3" s="1"/>
  <c r="R97" i="3" s="1"/>
  <c r="AD97" i="3"/>
  <c r="AA97" i="3"/>
  <c r="Z97" i="3"/>
  <c r="AC97" i="3"/>
  <c r="V26" i="3"/>
  <c r="AE26" i="3"/>
  <c r="T93" i="3" l="1"/>
  <c r="S94" i="3"/>
  <c r="W26" i="3"/>
  <c r="A99" i="3"/>
  <c r="B99" i="3" s="1"/>
  <c r="AD98" i="3"/>
  <c r="AA98" i="3"/>
  <c r="P98" i="3"/>
  <c r="Q98" i="3" s="1"/>
  <c r="R98" i="3" s="1"/>
  <c r="Z98" i="3"/>
  <c r="AC98" i="3"/>
  <c r="L26" i="3"/>
  <c r="T94" i="3" l="1"/>
  <c r="S95" i="3"/>
  <c r="AD99" i="3"/>
  <c r="P99" i="3"/>
  <c r="Q99" i="3" s="1"/>
  <c r="R99" i="3" s="1"/>
  <c r="Z99" i="3"/>
  <c r="A100" i="3"/>
  <c r="B100" i="3" s="1"/>
  <c r="AC99" i="3"/>
  <c r="AA99" i="3"/>
  <c r="AH27" i="3"/>
  <c r="U26" i="3"/>
  <c r="D27" i="3" s="1"/>
  <c r="AG27" i="3"/>
  <c r="Y25" i="3"/>
  <c r="S96" i="3" l="1"/>
  <c r="T95" i="3"/>
  <c r="E27" i="3"/>
  <c r="H27" i="3" s="1"/>
  <c r="K27" i="3" s="1"/>
  <c r="G27" i="3"/>
  <c r="A101" i="3"/>
  <c r="B101" i="3" s="1"/>
  <c r="AA100" i="3"/>
  <c r="AC100" i="3"/>
  <c r="Z100" i="3"/>
  <c r="AD100" i="3"/>
  <c r="P100" i="3"/>
  <c r="Q100" i="3" s="1"/>
  <c r="R100" i="3" s="1"/>
  <c r="S97" i="3" l="1"/>
  <c r="T96" i="3"/>
  <c r="F27" i="3"/>
  <c r="AD101" i="3"/>
  <c r="Z101" i="3"/>
  <c r="P101" i="3"/>
  <c r="Q101" i="3" s="1"/>
  <c r="R101" i="3" s="1"/>
  <c r="AC101" i="3"/>
  <c r="A102" i="3"/>
  <c r="B102" i="3" s="1"/>
  <c r="AA101" i="3"/>
  <c r="I27" i="3"/>
  <c r="J27" i="3"/>
  <c r="M27" i="3"/>
  <c r="N27" i="3" s="1"/>
  <c r="V27" i="3"/>
  <c r="AE27" i="3"/>
  <c r="S98" i="3" l="1"/>
  <c r="T97" i="3"/>
  <c r="P102" i="3"/>
  <c r="Q102" i="3" s="1"/>
  <c r="R102" i="3" s="1"/>
  <c r="A103" i="3"/>
  <c r="B103" i="3" s="1"/>
  <c r="AA102" i="3"/>
  <c r="AC102" i="3"/>
  <c r="AD102" i="3"/>
  <c r="Z102" i="3"/>
  <c r="L27" i="3"/>
  <c r="W27" i="3"/>
  <c r="T98" i="3" l="1"/>
  <c r="S99" i="3"/>
  <c r="P103" i="3"/>
  <c r="Q103" i="3" s="1"/>
  <c r="R103" i="3" s="1"/>
  <c r="AD103" i="3"/>
  <c r="AC103" i="3"/>
  <c r="Z103" i="3"/>
  <c r="A104" i="3"/>
  <c r="B104" i="3" s="1"/>
  <c r="AA103" i="3"/>
  <c r="U27" i="3"/>
  <c r="E28" i="3" s="1"/>
  <c r="H28" i="3" s="1"/>
  <c r="AG28" i="3"/>
  <c r="AH28" i="3"/>
  <c r="Y26" i="3"/>
  <c r="S100" i="3" l="1"/>
  <c r="T99" i="3"/>
  <c r="D28" i="3"/>
  <c r="F28" i="3" s="1"/>
  <c r="K28" i="3"/>
  <c r="AC104" i="3"/>
  <c r="P104" i="3"/>
  <c r="Q104" i="3" s="1"/>
  <c r="R104" i="3" s="1"/>
  <c r="Z104" i="3"/>
  <c r="AA104" i="3"/>
  <c r="S101" i="3" l="1"/>
  <c r="T100" i="3"/>
  <c r="G28" i="3"/>
  <c r="I28" i="3" s="1"/>
  <c r="V28" i="3"/>
  <c r="AE28" i="3"/>
  <c r="T101" i="3" l="1"/>
  <c r="S102" i="3"/>
  <c r="M28" i="3"/>
  <c r="N28" i="3" s="1"/>
  <c r="J28" i="3"/>
  <c r="L28" i="3" s="1"/>
  <c r="W28" i="3"/>
  <c r="S103" i="3" l="1"/>
  <c r="T102" i="3"/>
  <c r="AH29" i="3"/>
  <c r="AG29" i="3"/>
  <c r="U28" i="3"/>
  <c r="E29" i="3" s="1"/>
  <c r="H29" i="3" s="1"/>
  <c r="Y27" i="3"/>
  <c r="S104" i="3" l="1"/>
  <c r="T103" i="3"/>
  <c r="D29" i="3"/>
  <c r="F29" i="3" s="1"/>
  <c r="K29" i="3"/>
  <c r="T104" i="3" l="1"/>
  <c r="G29" i="3"/>
  <c r="M29" i="3" s="1"/>
  <c r="N29" i="3" s="1"/>
  <c r="V29" i="3"/>
  <c r="AE29" i="3"/>
  <c r="J29" i="3" l="1"/>
  <c r="L29" i="3" s="1"/>
  <c r="I29" i="3"/>
  <c r="W29" i="3" s="1"/>
  <c r="U29" i="3" l="1"/>
  <c r="D30" i="3" s="1"/>
  <c r="AG30" i="3"/>
  <c r="AH30" i="3"/>
  <c r="Y28" i="3"/>
  <c r="E30" i="3" l="1"/>
  <c r="H30" i="3" s="1"/>
  <c r="K30" i="3" s="1"/>
  <c r="G30" i="3"/>
  <c r="F30" i="3" l="1"/>
  <c r="I30" i="3"/>
  <c r="J30" i="3"/>
  <c r="M30" i="3"/>
  <c r="N30" i="3" s="1"/>
  <c r="V30" i="3"/>
  <c r="AE30" i="3"/>
  <c r="W30" i="3" l="1"/>
  <c r="L30" i="3"/>
  <c r="U30" i="3" l="1"/>
  <c r="D31" i="3" s="1"/>
  <c r="AG31" i="3"/>
  <c r="AH31" i="3"/>
  <c r="Y29" i="3"/>
  <c r="E31" i="3" l="1"/>
  <c r="H31" i="3" s="1"/>
  <c r="K31" i="3" s="1"/>
  <c r="G31" i="3"/>
  <c r="F31" i="3" l="1"/>
  <c r="V31" i="3"/>
  <c r="AE31" i="3"/>
  <c r="I31" i="3"/>
  <c r="J31" i="3"/>
  <c r="M31" i="3"/>
  <c r="N31" i="3" s="1"/>
  <c r="L31" i="3" l="1"/>
  <c r="W31" i="3"/>
  <c r="AG32" i="3" l="1"/>
  <c r="AH32" i="3"/>
  <c r="U31" i="3"/>
  <c r="E32" i="3" s="1"/>
  <c r="H32" i="3" s="1"/>
  <c r="Y30" i="3"/>
  <c r="D32" i="3" l="1"/>
  <c r="F32" i="3" s="1"/>
  <c r="K32" i="3"/>
  <c r="G32" i="3" l="1"/>
  <c r="I32" i="3" s="1"/>
  <c r="V32" i="3"/>
  <c r="AE32" i="3"/>
  <c r="M32" i="3" l="1"/>
  <c r="N32" i="3" s="1"/>
  <c r="J32" i="3"/>
  <c r="L32" i="3" s="1"/>
  <c r="W32" i="3"/>
  <c r="AH33" i="3" l="1"/>
  <c r="AG33" i="3"/>
  <c r="U32" i="3"/>
  <c r="D33" i="3" s="1"/>
  <c r="Y31" i="3"/>
  <c r="E33" i="3" l="1"/>
  <c r="H33" i="3" s="1"/>
  <c r="K33" i="3" s="1"/>
  <c r="G33" i="3"/>
  <c r="F33" i="3" l="1"/>
  <c r="I33" i="3"/>
  <c r="J33" i="3"/>
  <c r="M33" i="3"/>
  <c r="N33" i="3" s="1"/>
  <c r="V33" i="3"/>
  <c r="AE33" i="3"/>
  <c r="W33" i="3" l="1"/>
  <c r="L33" i="3"/>
  <c r="AH34" i="3" l="1"/>
  <c r="AG34" i="3"/>
  <c r="U33" i="3"/>
  <c r="D34" i="3" s="1"/>
  <c r="Y32" i="3"/>
  <c r="G34" i="3" l="1"/>
  <c r="E34" i="3"/>
  <c r="H34" i="3" s="1"/>
  <c r="F34" i="3" l="1"/>
  <c r="I34" i="3"/>
  <c r="J34" i="3"/>
  <c r="AD34" i="3" s="1"/>
  <c r="M34" i="3"/>
  <c r="N34" i="3" s="1"/>
  <c r="K34" i="3"/>
  <c r="V34" i="3" l="1"/>
  <c r="W34" i="3" s="1"/>
  <c r="AE34" i="3"/>
  <c r="L34" i="3"/>
  <c r="U34" i="3" l="1"/>
  <c r="E35" i="3" s="1"/>
  <c r="H35" i="3" s="1"/>
  <c r="AH35" i="3"/>
  <c r="AG35" i="3"/>
  <c r="Y33" i="3"/>
  <c r="D35" i="3" l="1"/>
  <c r="G35" i="3" s="1"/>
  <c r="K35" i="3"/>
  <c r="F35" i="3" l="1"/>
  <c r="I35" i="3"/>
  <c r="J35" i="3"/>
  <c r="M35" i="3"/>
  <c r="N35" i="3" s="1"/>
  <c r="V35" i="3"/>
  <c r="AE35" i="3"/>
  <c r="W35" i="3" l="1"/>
  <c r="L35" i="3"/>
  <c r="U35" i="3" l="1"/>
  <c r="E36" i="3" s="1"/>
  <c r="H36" i="3" s="1"/>
  <c r="AG36" i="3"/>
  <c r="AH36" i="3"/>
  <c r="Y34" i="3"/>
  <c r="K36" i="3" l="1"/>
  <c r="D36" i="3"/>
  <c r="F36" i="3" l="1"/>
  <c r="G36" i="3"/>
  <c r="V36" i="3"/>
  <c r="AE36" i="3"/>
  <c r="I36" i="3" l="1"/>
  <c r="W36" i="3" s="1"/>
  <c r="J36" i="3"/>
  <c r="M36" i="3"/>
  <c r="N36" i="3" s="1"/>
  <c r="L36" i="3" l="1"/>
  <c r="AH37" i="3" l="1"/>
  <c r="AG37" i="3"/>
  <c r="U36" i="3"/>
  <c r="E37" i="3" s="1"/>
  <c r="H37" i="3" s="1"/>
  <c r="Y35" i="3"/>
  <c r="D37" i="3" l="1"/>
  <c r="G37" i="3" s="1"/>
  <c r="K37" i="3"/>
  <c r="F37" i="3" l="1"/>
  <c r="I37" i="3"/>
  <c r="J37" i="3"/>
  <c r="M37" i="3"/>
  <c r="N37" i="3" s="1"/>
  <c r="V37" i="3"/>
  <c r="AE37" i="3"/>
  <c r="W37" i="3" l="1"/>
  <c r="L37" i="3"/>
  <c r="AH38" i="3" l="1"/>
  <c r="AG38" i="3"/>
  <c r="U37" i="3"/>
  <c r="D38" i="3" s="1"/>
  <c r="Y36" i="3"/>
  <c r="G38" i="3" l="1"/>
  <c r="E38" i="3"/>
  <c r="H38" i="3" s="1"/>
  <c r="K38" i="3" l="1"/>
  <c r="F38" i="3"/>
  <c r="I38" i="3"/>
  <c r="J38" i="3"/>
  <c r="M38" i="3"/>
  <c r="N38" i="3" s="1"/>
  <c r="L38" i="3" l="1"/>
  <c r="V38" i="3"/>
  <c r="W38" i="3" s="1"/>
  <c r="AE38" i="3"/>
  <c r="U38" i="3" l="1"/>
  <c r="D39" i="3" s="1"/>
  <c r="AG39" i="3"/>
  <c r="AH39" i="3"/>
  <c r="Y37" i="3"/>
  <c r="G39" i="3" l="1"/>
  <c r="E39" i="3"/>
  <c r="H39" i="3" s="1"/>
  <c r="F39" i="3" l="1"/>
  <c r="K39" i="3"/>
  <c r="I39" i="3"/>
  <c r="J39" i="3"/>
  <c r="M39" i="3"/>
  <c r="N39" i="3" s="1"/>
  <c r="L39" i="3" l="1"/>
  <c r="V39" i="3"/>
  <c r="W39" i="3" s="1"/>
  <c r="AE39" i="3"/>
  <c r="U39" i="3" l="1"/>
  <c r="E40" i="3" s="1"/>
  <c r="H40" i="3" s="1"/>
  <c r="AH40" i="3"/>
  <c r="AG40" i="3"/>
  <c r="Y38" i="3"/>
  <c r="D40" i="3" l="1"/>
  <c r="F40" i="3" s="1"/>
  <c r="K40" i="3"/>
  <c r="G40" i="3" l="1"/>
  <c r="M40" i="3" s="1"/>
  <c r="N40" i="3" s="1"/>
  <c r="V40" i="3"/>
  <c r="AE40" i="3"/>
  <c r="I40" i="3" l="1"/>
  <c r="W40" i="3" s="1"/>
  <c r="J40" i="3"/>
  <c r="L40" i="3" s="1"/>
  <c r="U40" i="3" l="1"/>
  <c r="D41" i="3" s="1"/>
  <c r="AG41" i="3"/>
  <c r="AH41" i="3"/>
  <c r="Y39" i="3"/>
  <c r="G41" i="3" l="1"/>
  <c r="E41" i="3"/>
  <c r="H41" i="3" s="1"/>
  <c r="F41" i="3" l="1"/>
  <c r="I41" i="3"/>
  <c r="J41" i="3"/>
  <c r="M41" i="3"/>
  <c r="N41" i="3" s="1"/>
  <c r="K41" i="3"/>
  <c r="V41" i="3" l="1"/>
  <c r="W41" i="3" s="1"/>
  <c r="AE41" i="3"/>
  <c r="L41" i="3"/>
  <c r="U41" i="3" l="1"/>
  <c r="E42" i="3" s="1"/>
  <c r="H42" i="3" s="1"/>
  <c r="AG42" i="3"/>
  <c r="AH42" i="3"/>
  <c r="Y40" i="3"/>
  <c r="D42" i="3" l="1"/>
  <c r="G42" i="3" s="1"/>
  <c r="K42" i="3"/>
  <c r="F42" i="3" l="1"/>
  <c r="V42" i="3"/>
  <c r="AE42" i="3"/>
  <c r="I42" i="3"/>
  <c r="J42" i="3"/>
  <c r="M42" i="3"/>
  <c r="N42" i="3" s="1"/>
  <c r="W42" i="3" l="1"/>
  <c r="L42" i="3"/>
  <c r="AG43" i="3" l="1"/>
  <c r="AH43" i="3"/>
  <c r="U42" i="3"/>
  <c r="E43" i="3" s="1"/>
  <c r="H43" i="3" s="1"/>
  <c r="Y41" i="3"/>
  <c r="K43" i="3" l="1"/>
  <c r="D43" i="3"/>
  <c r="V43" i="3" l="1"/>
  <c r="AE43" i="3"/>
  <c r="F43" i="3"/>
  <c r="G43" i="3"/>
  <c r="I43" i="3" l="1"/>
  <c r="W43" i="3" s="1"/>
  <c r="J43" i="3"/>
  <c r="M43" i="3"/>
  <c r="N43" i="3" s="1"/>
  <c r="L43" i="3" l="1"/>
  <c r="AG44" i="3" l="1"/>
  <c r="AH44" i="3"/>
  <c r="U43" i="3"/>
  <c r="E44" i="3" s="1"/>
  <c r="H44" i="3" s="1"/>
  <c r="Y42" i="3"/>
  <c r="D44" i="3" l="1"/>
  <c r="F44" i="3" s="1"/>
  <c r="K44" i="3"/>
  <c r="G44" i="3" l="1"/>
  <c r="J44" i="3" s="1"/>
  <c r="AD44" i="3" s="1"/>
  <c r="V44" i="3"/>
  <c r="AE44" i="3"/>
  <c r="M44" i="3" l="1"/>
  <c r="N44" i="3" s="1"/>
  <c r="I44" i="3"/>
  <c r="W44" i="3" s="1"/>
  <c r="L44" i="3"/>
  <c r="U44" i="3" l="1"/>
  <c r="E45" i="3" s="1"/>
  <c r="H45" i="3" s="1"/>
  <c r="AH45" i="3"/>
  <c r="AG45" i="3"/>
  <c r="Y43" i="3"/>
  <c r="D45" i="3" l="1"/>
  <c r="G45" i="3" s="1"/>
  <c r="K45" i="3"/>
  <c r="F45" i="3" l="1"/>
  <c r="I45" i="3"/>
  <c r="J45" i="3"/>
  <c r="M45" i="3"/>
  <c r="N45" i="3" s="1"/>
  <c r="V45" i="3"/>
  <c r="AE45" i="3"/>
  <c r="L45" i="3" l="1"/>
  <c r="W45" i="3"/>
  <c r="U45" i="3" l="1"/>
  <c r="D46" i="3" s="1"/>
  <c r="AG46" i="3"/>
  <c r="AH46" i="3"/>
  <c r="Y44" i="3"/>
  <c r="E46" i="3" l="1"/>
  <c r="H46" i="3" s="1"/>
  <c r="K46" i="3" s="1"/>
  <c r="G46" i="3"/>
  <c r="F46" i="3" l="1"/>
  <c r="I46" i="3"/>
  <c r="J46" i="3"/>
  <c r="M46" i="3"/>
  <c r="N46" i="3" s="1"/>
  <c r="V46" i="3"/>
  <c r="AE46" i="3"/>
  <c r="W46" i="3" l="1"/>
  <c r="L46" i="3"/>
  <c r="AG47" i="3" l="1"/>
  <c r="U46" i="3"/>
  <c r="D47" i="3" s="1"/>
  <c r="AH47" i="3"/>
  <c r="Y45" i="3"/>
  <c r="E47" i="3" l="1"/>
  <c r="H47" i="3" s="1"/>
  <c r="K47" i="3" s="1"/>
  <c r="G47" i="3"/>
  <c r="F47" i="3" l="1"/>
  <c r="I47" i="3"/>
  <c r="J47" i="3"/>
  <c r="M47" i="3"/>
  <c r="N47" i="3" s="1"/>
  <c r="V47" i="3"/>
  <c r="AE47" i="3"/>
  <c r="W47" i="3" l="1"/>
  <c r="L47" i="3"/>
  <c r="AG48" i="3" l="1"/>
  <c r="U47" i="3"/>
  <c r="E48" i="3" s="1"/>
  <c r="H48" i="3" s="1"/>
  <c r="AH48" i="3"/>
  <c r="Y46" i="3"/>
  <c r="K48" i="3" l="1"/>
  <c r="D48" i="3"/>
  <c r="V48" i="3" l="1"/>
  <c r="AE48" i="3"/>
  <c r="F48" i="3"/>
  <c r="G48" i="3"/>
  <c r="I48" i="3" l="1"/>
  <c r="W48" i="3" s="1"/>
  <c r="J48" i="3"/>
  <c r="M48" i="3"/>
  <c r="N48" i="3" s="1"/>
  <c r="L48" i="3" l="1"/>
  <c r="AH49" i="3" l="1"/>
  <c r="U48" i="3"/>
  <c r="E49" i="3" s="1"/>
  <c r="H49" i="3" s="1"/>
  <c r="AG49" i="3"/>
  <c r="Y47" i="3"/>
  <c r="D49" i="3" l="1"/>
  <c r="G49" i="3" s="1"/>
  <c r="K49" i="3"/>
  <c r="F49" i="3" l="1"/>
  <c r="V49" i="3"/>
  <c r="AE49" i="3"/>
  <c r="I49" i="3"/>
  <c r="J49" i="3"/>
  <c r="M49" i="3"/>
  <c r="N49" i="3" s="1"/>
  <c r="W49" i="3" l="1"/>
  <c r="L49" i="3"/>
  <c r="AG50" i="3" l="1"/>
  <c r="AH50" i="3"/>
  <c r="U49" i="3"/>
  <c r="D50" i="3" s="1"/>
  <c r="Y48" i="3"/>
  <c r="E50" i="3" l="1"/>
  <c r="H50" i="3" s="1"/>
  <c r="K50" i="3" s="1"/>
  <c r="G50" i="3"/>
  <c r="F50" i="3" l="1"/>
  <c r="I50" i="3"/>
  <c r="J50" i="3"/>
  <c r="M50" i="3"/>
  <c r="N50" i="3" s="1"/>
  <c r="V50" i="3"/>
  <c r="AE50" i="3"/>
  <c r="L50" i="3" l="1"/>
  <c r="W50" i="3"/>
  <c r="U50" i="3" l="1"/>
  <c r="D51" i="3" s="1"/>
  <c r="AH51" i="3"/>
  <c r="AG51" i="3"/>
  <c r="Y49" i="3"/>
  <c r="E51" i="3" l="1"/>
  <c r="H51" i="3" s="1"/>
  <c r="K51" i="3" s="1"/>
  <c r="G51" i="3"/>
  <c r="F51" i="3" l="1"/>
  <c r="V51" i="3"/>
  <c r="AE51" i="3"/>
  <c r="I51" i="3"/>
  <c r="J51" i="3"/>
  <c r="M51" i="3"/>
  <c r="N51" i="3" s="1"/>
  <c r="W51" i="3" l="1"/>
  <c r="L51" i="3"/>
  <c r="AH52" i="3" l="1"/>
  <c r="AG52" i="3"/>
  <c r="U51" i="3"/>
  <c r="E52" i="3" s="1"/>
  <c r="H52" i="3" s="1"/>
  <c r="Y50" i="3"/>
  <c r="D52" i="3" l="1"/>
  <c r="G52" i="3" s="1"/>
  <c r="K52" i="3"/>
  <c r="F52" i="3" l="1"/>
  <c r="V52" i="3"/>
  <c r="AE52" i="3"/>
  <c r="I52" i="3"/>
  <c r="J52" i="3"/>
  <c r="M52" i="3"/>
  <c r="N52" i="3" s="1"/>
  <c r="L52" i="3" l="1"/>
  <c r="W52" i="3"/>
  <c r="AH53" i="3" l="1"/>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A105" i="3" s="1"/>
  <c r="B105" i="3" s="1"/>
  <c r="D104" i="3"/>
  <c r="AA105" i="3" l="1"/>
  <c r="P105" i="3"/>
  <c r="Q105" i="3" s="1"/>
  <c r="R105" i="3" s="1"/>
  <c r="S105" i="3" s="1"/>
  <c r="AD105" i="3"/>
  <c r="Z105" i="3"/>
  <c r="AC105" i="3"/>
  <c r="V104" i="3"/>
  <c r="AE104" i="3"/>
  <c r="F104" i="3"/>
  <c r="G104" i="3"/>
  <c r="T105" i="3" l="1"/>
  <c r="I104" i="3"/>
  <c r="W104" i="3" s="1"/>
  <c r="J104" i="3"/>
  <c r="M104" i="3"/>
  <c r="N104" i="3" s="1"/>
  <c r="L104" i="3" l="1"/>
  <c r="AD104" i="3"/>
  <c r="U104" i="3" l="1"/>
  <c r="E105" i="3" s="1"/>
  <c r="H105" i="3" s="1"/>
  <c r="AG105" i="3"/>
  <c r="AH105" i="3"/>
  <c r="Y103" i="3"/>
  <c r="D105" i="3" l="1"/>
  <c r="G105" i="3" s="1"/>
  <c r="K105" i="3"/>
  <c r="A106" i="3" s="1"/>
  <c r="B106" i="3" s="1"/>
  <c r="Z106" i="3" l="1"/>
  <c r="AC106" i="3"/>
  <c r="AA106" i="3"/>
  <c r="AD106" i="3"/>
  <c r="P106" i="3"/>
  <c r="Q106" i="3" s="1"/>
  <c r="R106" i="3" s="1"/>
  <c r="S106" i="3" s="1"/>
  <c r="F105" i="3"/>
  <c r="V105" i="3"/>
  <c r="AE105" i="3"/>
  <c r="I105" i="3"/>
  <c r="J105" i="3"/>
  <c r="M105" i="3"/>
  <c r="N105" i="3" s="1"/>
  <c r="T106" i="3" l="1"/>
  <c r="W105" i="3"/>
  <c r="L105" i="3"/>
  <c r="AH106" i="3" l="1"/>
  <c r="AG106" i="3"/>
  <c r="U105" i="3"/>
  <c r="D106" i="3" s="1"/>
  <c r="Y104" i="3"/>
  <c r="E106" i="3" l="1"/>
  <c r="H106" i="3" s="1"/>
  <c r="K106" i="3" s="1"/>
  <c r="A107" i="3" s="1"/>
  <c r="B107" i="3" s="1"/>
  <c r="G106" i="3"/>
  <c r="Z107" i="3" l="1"/>
  <c r="AA107" i="3"/>
  <c r="AC107" i="3"/>
  <c r="P107" i="3"/>
  <c r="Q107" i="3" s="1"/>
  <c r="R107" i="3" s="1"/>
  <c r="S107" i="3" s="1"/>
  <c r="AD107" i="3"/>
  <c r="F106" i="3"/>
  <c r="V106" i="3"/>
  <c r="AE106" i="3"/>
  <c r="I106" i="3"/>
  <c r="J106" i="3"/>
  <c r="M106" i="3"/>
  <c r="N106" i="3" s="1"/>
  <c r="T107" i="3" l="1"/>
  <c r="W106" i="3"/>
  <c r="L106" i="3"/>
  <c r="AG107" i="3" l="1"/>
  <c r="AH107" i="3"/>
  <c r="U106" i="3"/>
  <c r="E107" i="3" s="1"/>
  <c r="H107" i="3" s="1"/>
  <c r="Y105" i="3"/>
  <c r="K107" i="3" l="1"/>
  <c r="A108" i="3" s="1"/>
  <c r="B108" i="3" s="1"/>
  <c r="D107" i="3"/>
  <c r="AA108" i="3" l="1"/>
  <c r="AC108" i="3"/>
  <c r="AD108" i="3"/>
  <c r="Z108" i="3"/>
  <c r="P108" i="3"/>
  <c r="Q108" i="3" s="1"/>
  <c r="R108" i="3" s="1"/>
  <c r="S108" i="3" s="1"/>
  <c r="V107" i="3"/>
  <c r="AE107" i="3"/>
  <c r="F107" i="3"/>
  <c r="G107" i="3"/>
  <c r="T108" i="3" l="1"/>
  <c r="I107" i="3"/>
  <c r="W107" i="3" s="1"/>
  <c r="J107" i="3"/>
  <c r="M107" i="3"/>
  <c r="N107" i="3" s="1"/>
  <c r="L107" i="3" l="1"/>
  <c r="AH108" i="3" l="1"/>
  <c r="U107" i="3"/>
  <c r="E108" i="3" s="1"/>
  <c r="H108" i="3" s="1"/>
  <c r="AG108" i="3"/>
  <c r="Y106" i="3"/>
  <c r="D108" i="3" l="1"/>
  <c r="G108" i="3" s="1"/>
  <c r="K108" i="3"/>
  <c r="A109" i="3" s="1"/>
  <c r="B109" i="3" s="1"/>
  <c r="P109" i="3" l="1"/>
  <c r="Q109" i="3" s="1"/>
  <c r="R109" i="3" s="1"/>
  <c r="S109" i="3" s="1"/>
  <c r="AA109" i="3"/>
  <c r="Z109" i="3"/>
  <c r="AD109" i="3"/>
  <c r="AC109" i="3"/>
  <c r="F108" i="3"/>
  <c r="I108" i="3"/>
  <c r="J108" i="3"/>
  <c r="M108" i="3"/>
  <c r="N108" i="3" s="1"/>
  <c r="V108" i="3"/>
  <c r="AE108" i="3"/>
  <c r="T109" i="3" l="1"/>
  <c r="W108" i="3"/>
  <c r="L108" i="3"/>
  <c r="AG109" i="3" l="1"/>
  <c r="U108" i="3"/>
  <c r="D109" i="3" s="1"/>
  <c r="AH109" i="3"/>
  <c r="Y107" i="3"/>
  <c r="E109" i="3" l="1"/>
  <c r="H109" i="3" s="1"/>
  <c r="K109" i="3" s="1"/>
  <c r="A110" i="3" s="1"/>
  <c r="B110" i="3" s="1"/>
  <c r="G109" i="3"/>
  <c r="AD110" i="3" l="1"/>
  <c r="P110" i="3"/>
  <c r="Q110" i="3" s="1"/>
  <c r="R110" i="3" s="1"/>
  <c r="S110" i="3" s="1"/>
  <c r="AA110" i="3"/>
  <c r="Z110" i="3"/>
  <c r="AC110" i="3"/>
  <c r="F109" i="3"/>
  <c r="V109" i="3"/>
  <c r="AE109" i="3"/>
  <c r="I109" i="3"/>
  <c r="J109" i="3"/>
  <c r="M109" i="3"/>
  <c r="N109" i="3" s="1"/>
  <c r="T110" i="3" l="1"/>
  <c r="L109" i="3"/>
  <c r="W109" i="3"/>
  <c r="AH110" i="3" l="1"/>
  <c r="AG110" i="3"/>
  <c r="U109" i="3"/>
  <c r="D110" i="3" s="1"/>
  <c r="Y108" i="3"/>
  <c r="E110" i="3" l="1"/>
  <c r="H110" i="3" s="1"/>
  <c r="K110" i="3" s="1"/>
  <c r="A111" i="3" s="1"/>
  <c r="B111" i="3" s="1"/>
  <c r="G110" i="3"/>
  <c r="AA111" i="3" l="1"/>
  <c r="AC111" i="3"/>
  <c r="P111" i="3"/>
  <c r="Q111" i="3" s="1"/>
  <c r="R111" i="3" s="1"/>
  <c r="S111" i="3" s="1"/>
  <c r="Z111" i="3"/>
  <c r="AD111" i="3"/>
  <c r="F110" i="3"/>
  <c r="I110" i="3"/>
  <c r="J110" i="3"/>
  <c r="M110" i="3"/>
  <c r="N110" i="3" s="1"/>
  <c r="V110" i="3"/>
  <c r="AE110" i="3"/>
  <c r="T111" i="3" l="1"/>
  <c r="W110" i="3"/>
  <c r="L110" i="3"/>
  <c r="AH111" i="3" l="1"/>
  <c r="U110" i="3"/>
  <c r="E111" i="3" s="1"/>
  <c r="H111" i="3" s="1"/>
  <c r="AG111" i="3"/>
  <c r="Y109" i="3"/>
  <c r="D111" i="3" l="1"/>
  <c r="G111" i="3" s="1"/>
  <c r="K111" i="3"/>
  <c r="A112" i="3" s="1"/>
  <c r="B112" i="3" s="1"/>
  <c r="AD112" i="3" l="1"/>
  <c r="AA112" i="3"/>
  <c r="AC112" i="3"/>
  <c r="P112" i="3"/>
  <c r="Q112" i="3" s="1"/>
  <c r="R112" i="3" s="1"/>
  <c r="S112" i="3" s="1"/>
  <c r="Z112" i="3"/>
  <c r="F111" i="3"/>
  <c r="I111" i="3"/>
  <c r="J111" i="3"/>
  <c r="M111" i="3"/>
  <c r="N111" i="3" s="1"/>
  <c r="V111" i="3"/>
  <c r="AE111" i="3"/>
  <c r="T112" i="3" l="1"/>
  <c r="W111" i="3"/>
  <c r="L111" i="3"/>
  <c r="AH112" i="3" l="1"/>
  <c r="U111" i="3"/>
  <c r="D112" i="3" s="1"/>
  <c r="AG112" i="3"/>
  <c r="Y110" i="3"/>
  <c r="E112" i="3" l="1"/>
  <c r="H112" i="3" s="1"/>
  <c r="K112" i="3" s="1"/>
  <c r="A113" i="3" s="1"/>
  <c r="B113" i="3" s="1"/>
  <c r="G112" i="3"/>
  <c r="AC113" i="3" l="1"/>
  <c r="AA113" i="3"/>
  <c r="Z113" i="3"/>
  <c r="P113" i="3"/>
  <c r="Q113" i="3" s="1"/>
  <c r="R113" i="3" s="1"/>
  <c r="S113" i="3" s="1"/>
  <c r="AD113" i="3"/>
  <c r="F112" i="3"/>
  <c r="V112" i="3"/>
  <c r="AE112" i="3"/>
  <c r="I112" i="3"/>
  <c r="J112" i="3"/>
  <c r="M112" i="3"/>
  <c r="N112" i="3" s="1"/>
  <c r="T113" i="3" l="1"/>
  <c r="W112" i="3"/>
  <c r="L112" i="3"/>
  <c r="AG113" i="3" l="1"/>
  <c r="U112" i="3"/>
  <c r="E113" i="3" s="1"/>
  <c r="H113" i="3" s="1"/>
  <c r="AH113" i="3"/>
  <c r="Y111" i="3"/>
  <c r="D113" i="3" l="1"/>
  <c r="G113" i="3" s="1"/>
  <c r="K113" i="3"/>
  <c r="A114" i="3" s="1"/>
  <c r="B114" i="3" s="1"/>
  <c r="Z114" i="3" l="1"/>
  <c r="AC114" i="3"/>
  <c r="AA114" i="3"/>
  <c r="P114" i="3"/>
  <c r="Q114" i="3" s="1"/>
  <c r="R114" i="3" s="1"/>
  <c r="S114" i="3" s="1"/>
  <c r="F113" i="3"/>
  <c r="V113" i="3"/>
  <c r="AE113" i="3"/>
  <c r="I113" i="3"/>
  <c r="J113" i="3"/>
  <c r="M113" i="3"/>
  <c r="N113" i="3" s="1"/>
  <c r="T114" i="3" l="1"/>
  <c r="W113" i="3"/>
  <c r="L113" i="3"/>
  <c r="AH114" i="3" l="1"/>
  <c r="U113" i="3"/>
  <c r="D114" i="3" s="1"/>
  <c r="AG114" i="3"/>
  <c r="Y112" i="3"/>
  <c r="E114" i="3" l="1"/>
  <c r="H114" i="3" s="1"/>
  <c r="K114" i="3" s="1"/>
  <c r="A115" i="3" s="1"/>
  <c r="B115" i="3" s="1"/>
  <c r="G114" i="3"/>
  <c r="AA115" i="3" l="1"/>
  <c r="AD115" i="3"/>
  <c r="P115" i="3"/>
  <c r="Q115" i="3" s="1"/>
  <c r="R115" i="3" s="1"/>
  <c r="S115" i="3" s="1"/>
  <c r="Z115" i="3"/>
  <c r="AC115" i="3"/>
  <c r="F114" i="3"/>
  <c r="I114" i="3"/>
  <c r="J114" i="3"/>
  <c r="AD114" i="3" s="1"/>
  <c r="M114" i="3"/>
  <c r="N114" i="3" s="1"/>
  <c r="V114" i="3"/>
  <c r="AE114" i="3"/>
  <c r="T115" i="3" l="1"/>
  <c r="W114" i="3"/>
  <c r="L114" i="3"/>
  <c r="U114" i="3" l="1"/>
  <c r="D115" i="3" s="1"/>
  <c r="AH115" i="3"/>
  <c r="AG115" i="3"/>
  <c r="Y113" i="3"/>
  <c r="G115" i="3" l="1"/>
  <c r="E115" i="3"/>
  <c r="H115" i="3" s="1"/>
  <c r="F115" i="3" l="1"/>
  <c r="I115" i="3"/>
  <c r="J115" i="3"/>
  <c r="M115" i="3"/>
  <c r="N115" i="3" s="1"/>
  <c r="K115" i="3"/>
  <c r="A116" i="3" s="1"/>
  <c r="B116" i="3" s="1"/>
  <c r="AD116" i="3" l="1"/>
  <c r="AA116" i="3"/>
  <c r="AC116" i="3"/>
  <c r="Z116" i="3"/>
  <c r="P116" i="3"/>
  <c r="Q116" i="3" s="1"/>
  <c r="R116" i="3" s="1"/>
  <c r="S116" i="3" s="1"/>
  <c r="V115" i="3"/>
  <c r="W115" i="3" s="1"/>
  <c r="AE115" i="3"/>
  <c r="L115" i="3"/>
  <c r="T116" i="3" l="1"/>
  <c r="AH116" i="3" s="1"/>
  <c r="U115" i="3"/>
  <c r="Y114" i="3"/>
  <c r="AG116" i="3" l="1"/>
  <c r="E116" i="3"/>
  <c r="H116" i="3" s="1"/>
  <c r="K116" i="3" s="1"/>
  <c r="A117" i="3" s="1"/>
  <c r="B117" i="3" s="1"/>
  <c r="D116" i="3"/>
  <c r="P117" i="3" l="1"/>
  <c r="Q117" i="3" s="1"/>
  <c r="R117" i="3" s="1"/>
  <c r="S117" i="3" s="1"/>
  <c r="AC117" i="3"/>
  <c r="AD117" i="3"/>
  <c r="AA117" i="3"/>
  <c r="Z117" i="3"/>
  <c r="V116" i="3"/>
  <c r="AE116" i="3"/>
  <c r="F116" i="3"/>
  <c r="G116" i="3"/>
  <c r="T117" i="3" l="1"/>
  <c r="I116" i="3"/>
  <c r="W116" i="3" s="1"/>
  <c r="J116" i="3"/>
  <c r="M116" i="3"/>
  <c r="N116" i="3" s="1"/>
  <c r="L116" i="3" l="1"/>
  <c r="U116" i="3" l="1"/>
  <c r="D117" i="3" s="1"/>
  <c r="AH117" i="3"/>
  <c r="AG117" i="3"/>
  <c r="Y115" i="3"/>
  <c r="E117" i="3" l="1"/>
  <c r="H117" i="3" s="1"/>
  <c r="K117" i="3" s="1"/>
  <c r="A118" i="3" s="1"/>
  <c r="B118" i="3" s="1"/>
  <c r="G117" i="3"/>
  <c r="P118" i="3" l="1"/>
  <c r="Q118" i="3" s="1"/>
  <c r="R118" i="3" s="1"/>
  <c r="S118" i="3" s="1"/>
  <c r="Z118" i="3"/>
  <c r="AA118" i="3"/>
  <c r="AC118" i="3"/>
  <c r="AD118" i="3"/>
  <c r="F117" i="3"/>
  <c r="I117" i="3"/>
  <c r="J117" i="3"/>
  <c r="M117" i="3"/>
  <c r="N117" i="3" s="1"/>
  <c r="V117" i="3"/>
  <c r="AE117" i="3"/>
  <c r="T118" i="3" l="1"/>
  <c r="W117" i="3"/>
  <c r="L117" i="3"/>
  <c r="AG118" i="3" l="1"/>
  <c r="U117" i="3"/>
  <c r="D118" i="3" s="1"/>
  <c r="AH118" i="3"/>
  <c r="Y116" i="3"/>
  <c r="E118" i="3" l="1"/>
  <c r="H118" i="3" s="1"/>
  <c r="K118" i="3" s="1"/>
  <c r="A119" i="3" s="1"/>
  <c r="B119" i="3" s="1"/>
  <c r="G118" i="3"/>
  <c r="AD119" i="3" l="1"/>
  <c r="Z119" i="3"/>
  <c r="AA119" i="3"/>
  <c r="P119" i="3"/>
  <c r="Q119" i="3" s="1"/>
  <c r="R119" i="3" s="1"/>
  <c r="S119" i="3" s="1"/>
  <c r="AC119" i="3"/>
  <c r="F118" i="3"/>
  <c r="I118" i="3"/>
  <c r="J118" i="3"/>
  <c r="M118" i="3"/>
  <c r="N118" i="3" s="1"/>
  <c r="V118" i="3"/>
  <c r="AE118" i="3"/>
  <c r="T119" i="3" l="1"/>
  <c r="L118" i="3"/>
  <c r="W118" i="3"/>
  <c r="U118" i="3" l="1"/>
  <c r="E119" i="3" s="1"/>
  <c r="H119" i="3" s="1"/>
  <c r="AG119" i="3"/>
  <c r="AH119" i="3"/>
  <c r="Y117" i="3"/>
  <c r="D119" i="3" l="1"/>
  <c r="F119" i="3" s="1"/>
  <c r="K119" i="3"/>
  <c r="A120" i="3" s="1"/>
  <c r="B120" i="3" s="1"/>
  <c r="P120" i="3" l="1"/>
  <c r="Q120" i="3" s="1"/>
  <c r="R120" i="3" s="1"/>
  <c r="S120" i="3" s="1"/>
  <c r="Z120" i="3"/>
  <c r="AA120" i="3"/>
  <c r="AC120" i="3"/>
  <c r="AD120" i="3"/>
  <c r="G119" i="3"/>
  <c r="M119" i="3" s="1"/>
  <c r="N119" i="3" s="1"/>
  <c r="V119" i="3"/>
  <c r="AE119" i="3"/>
  <c r="T120" i="3" l="1"/>
  <c r="I119" i="3"/>
  <c r="W119" i="3" s="1"/>
  <c r="J119" i="3"/>
  <c r="L119" i="3" s="1"/>
  <c r="AH120" i="3" l="1"/>
  <c r="U119" i="3"/>
  <c r="D120" i="3" s="1"/>
  <c r="AG120" i="3"/>
  <c r="Y118" i="3"/>
  <c r="E120" i="3" l="1"/>
  <c r="H120" i="3" s="1"/>
  <c r="K120" i="3" s="1"/>
  <c r="A121" i="3" s="1"/>
  <c r="B121" i="3" s="1"/>
  <c r="G120" i="3"/>
  <c r="P121" i="3" l="1"/>
  <c r="Q121" i="3" s="1"/>
  <c r="R121" i="3" s="1"/>
  <c r="S121" i="3" s="1"/>
  <c r="AC121" i="3"/>
  <c r="AA121" i="3"/>
  <c r="Z121" i="3"/>
  <c r="AD121" i="3"/>
  <c r="F120" i="3"/>
  <c r="I120" i="3"/>
  <c r="J120" i="3"/>
  <c r="M120" i="3"/>
  <c r="N120" i="3" s="1"/>
  <c r="V120" i="3"/>
  <c r="AE120" i="3"/>
  <c r="T121" i="3" l="1"/>
  <c r="W120" i="3"/>
  <c r="L120" i="3"/>
  <c r="U120" i="3" l="1"/>
  <c r="E121" i="3" s="1"/>
  <c r="H121" i="3" s="1"/>
  <c r="AH121" i="3"/>
  <c r="AG121" i="3"/>
  <c r="Y119" i="3"/>
  <c r="D121" i="3" l="1"/>
  <c r="G121" i="3" s="1"/>
  <c r="K121" i="3"/>
  <c r="A122" i="3" s="1"/>
  <c r="B122" i="3" s="1"/>
  <c r="AA122" i="3" l="1"/>
  <c r="AD122" i="3"/>
  <c r="Z122" i="3"/>
  <c r="P122" i="3"/>
  <c r="Q122" i="3" s="1"/>
  <c r="R122" i="3" s="1"/>
  <c r="S122" i="3" s="1"/>
  <c r="AC122" i="3"/>
  <c r="F121" i="3"/>
  <c r="I121" i="3"/>
  <c r="J121" i="3"/>
  <c r="M121" i="3"/>
  <c r="N121" i="3" s="1"/>
  <c r="V121" i="3"/>
  <c r="AE121" i="3"/>
  <c r="T122" i="3" l="1"/>
  <c r="L121" i="3"/>
  <c r="W121" i="3"/>
  <c r="U121" i="3" l="1"/>
  <c r="D122" i="3" s="1"/>
  <c r="AG122" i="3"/>
  <c r="AH122" i="3"/>
  <c r="Y120" i="3"/>
  <c r="G122" i="3" l="1"/>
  <c r="E122" i="3"/>
  <c r="H122" i="3" s="1"/>
  <c r="F122" i="3" l="1"/>
  <c r="K122" i="3"/>
  <c r="A123" i="3" s="1"/>
  <c r="B123" i="3" s="1"/>
  <c r="I122" i="3"/>
  <c r="J122" i="3"/>
  <c r="M122" i="3"/>
  <c r="N122" i="3" s="1"/>
  <c r="P123" i="3" l="1"/>
  <c r="Q123" i="3" s="1"/>
  <c r="R123" i="3" s="1"/>
  <c r="S123" i="3" s="1"/>
  <c r="Z123" i="3"/>
  <c r="AC123" i="3"/>
  <c r="AD123" i="3"/>
  <c r="AA123" i="3"/>
  <c r="L122" i="3"/>
  <c r="V122" i="3"/>
  <c r="W122" i="3" s="1"/>
  <c r="AE122" i="3"/>
  <c r="T123" i="3" l="1"/>
  <c r="AG123" i="3" s="1"/>
  <c r="U122" i="3"/>
  <c r="Y121" i="3"/>
  <c r="AH123" i="3" l="1"/>
  <c r="D123" i="3"/>
  <c r="G123" i="3" s="1"/>
  <c r="E123" i="3"/>
  <c r="H123" i="3" s="1"/>
  <c r="I123" i="3" l="1"/>
  <c r="J123" i="3"/>
  <c r="M123" i="3"/>
  <c r="N123" i="3" s="1"/>
  <c r="K123" i="3"/>
  <c r="A124" i="3" s="1"/>
  <c r="B124" i="3" s="1"/>
  <c r="F123" i="3"/>
  <c r="AC124" i="3" l="1"/>
  <c r="AA124" i="3"/>
  <c r="Z124" i="3"/>
  <c r="P124" i="3"/>
  <c r="Q124" i="3" s="1"/>
  <c r="R124" i="3" s="1"/>
  <c r="S124" i="3" s="1"/>
  <c r="V123" i="3"/>
  <c r="W123" i="3" s="1"/>
  <c r="AE123" i="3"/>
  <c r="L123" i="3"/>
  <c r="T124" i="3" l="1"/>
  <c r="AG124" i="3" s="1"/>
  <c r="U123" i="3"/>
  <c r="Y122" i="3"/>
  <c r="AH124" i="3" l="1"/>
  <c r="D124" i="3"/>
  <c r="G124" i="3" s="1"/>
  <c r="E124" i="3"/>
  <c r="H124" i="3" s="1"/>
  <c r="K124" i="3" s="1"/>
  <c r="A125" i="3" s="1"/>
  <c r="B125" i="3" s="1"/>
  <c r="Z125" i="3" l="1"/>
  <c r="AD125" i="3"/>
  <c r="AC125" i="3"/>
  <c r="AA125" i="3"/>
  <c r="P125" i="3"/>
  <c r="Q125" i="3" s="1"/>
  <c r="R125" i="3" s="1"/>
  <c r="S125" i="3" s="1"/>
  <c r="F124" i="3"/>
  <c r="I124" i="3"/>
  <c r="J124" i="3"/>
  <c r="AD124" i="3" s="1"/>
  <c r="M124" i="3"/>
  <c r="N124" i="3" s="1"/>
  <c r="V124" i="3"/>
  <c r="AE124" i="3"/>
  <c r="T125" i="3" l="1"/>
  <c r="W124" i="3"/>
  <c r="L124" i="3"/>
  <c r="U124" i="3" l="1"/>
  <c r="E125" i="3" s="1"/>
  <c r="H125" i="3" s="1"/>
  <c r="AH125" i="3"/>
  <c r="AG125" i="3"/>
  <c r="Y123" i="3"/>
  <c r="K125" i="3" l="1"/>
  <c r="A126" i="3" s="1"/>
  <c r="B126" i="3" s="1"/>
  <c r="D125" i="3"/>
  <c r="AA126" i="3" l="1"/>
  <c r="P126" i="3"/>
  <c r="Q126" i="3" s="1"/>
  <c r="R126" i="3" s="1"/>
  <c r="S126" i="3" s="1"/>
  <c r="Z126" i="3"/>
  <c r="AD126" i="3"/>
  <c r="AC126" i="3"/>
  <c r="V125" i="3"/>
  <c r="AE125" i="3"/>
  <c r="F125" i="3"/>
  <c r="G125" i="3"/>
  <c r="T126" i="3" l="1"/>
  <c r="I125" i="3"/>
  <c r="W125" i="3" s="1"/>
  <c r="J125" i="3"/>
  <c r="M125" i="3"/>
  <c r="N125" i="3" s="1"/>
  <c r="L125" i="3" l="1"/>
  <c r="AG126" i="3" l="1"/>
  <c r="AH126" i="3"/>
  <c r="U125" i="3"/>
  <c r="D126" i="3" s="1"/>
  <c r="Y124" i="3"/>
  <c r="E126" i="3" l="1"/>
  <c r="H126" i="3" s="1"/>
  <c r="K126" i="3" s="1"/>
  <c r="A127" i="3" s="1"/>
  <c r="B127" i="3" s="1"/>
  <c r="G126" i="3"/>
  <c r="AC127" i="3" l="1"/>
  <c r="P127" i="3"/>
  <c r="Q127" i="3" s="1"/>
  <c r="R127" i="3" s="1"/>
  <c r="S127" i="3" s="1"/>
  <c r="AA127" i="3"/>
  <c r="Z127" i="3"/>
  <c r="AD127" i="3"/>
  <c r="F126" i="3"/>
  <c r="I126" i="3"/>
  <c r="J126" i="3"/>
  <c r="M126" i="3"/>
  <c r="N126" i="3" s="1"/>
  <c r="V126" i="3"/>
  <c r="AE126" i="3"/>
  <c r="T127" i="3" l="1"/>
  <c r="W126" i="3"/>
  <c r="L126" i="3"/>
  <c r="U126" i="3" l="1"/>
  <c r="E127" i="3" s="1"/>
  <c r="H127" i="3" s="1"/>
  <c r="AH127" i="3"/>
  <c r="AG127" i="3"/>
  <c r="Y125" i="3"/>
  <c r="D127" i="3" l="1"/>
  <c r="G127" i="3" s="1"/>
  <c r="K127" i="3"/>
  <c r="A128" i="3" s="1"/>
  <c r="B128" i="3" s="1"/>
  <c r="Z128" i="3" l="1"/>
  <c r="AC128" i="3"/>
  <c r="AD128" i="3"/>
  <c r="P128" i="3"/>
  <c r="Q128" i="3" s="1"/>
  <c r="R128" i="3" s="1"/>
  <c r="S128" i="3" s="1"/>
  <c r="AA128" i="3"/>
  <c r="F127" i="3"/>
  <c r="I127" i="3"/>
  <c r="J127" i="3"/>
  <c r="M127" i="3"/>
  <c r="N127" i="3" s="1"/>
  <c r="V127" i="3"/>
  <c r="AE127" i="3"/>
  <c r="T128" i="3" l="1"/>
  <c r="W127" i="3"/>
  <c r="L127" i="3"/>
  <c r="AH128" i="3" l="1"/>
  <c r="U127" i="3"/>
  <c r="E128" i="3" s="1"/>
  <c r="H128" i="3" s="1"/>
  <c r="AG128" i="3"/>
  <c r="Y126" i="3"/>
  <c r="D128" i="3" l="1"/>
  <c r="G128" i="3" s="1"/>
  <c r="K128" i="3"/>
  <c r="A129" i="3" s="1"/>
  <c r="B129" i="3" s="1"/>
  <c r="AA129" i="3" l="1"/>
  <c r="AC129" i="3"/>
  <c r="Z129" i="3"/>
  <c r="AD129" i="3"/>
  <c r="P129" i="3"/>
  <c r="Q129" i="3" s="1"/>
  <c r="R129" i="3" s="1"/>
  <c r="S129" i="3" s="1"/>
  <c r="F128" i="3"/>
  <c r="I128" i="3"/>
  <c r="J128" i="3"/>
  <c r="M128" i="3"/>
  <c r="N128" i="3" s="1"/>
  <c r="V128" i="3"/>
  <c r="AE128" i="3"/>
  <c r="T129" i="3" l="1"/>
  <c r="W128" i="3"/>
  <c r="L128" i="3"/>
  <c r="AH129" i="3" l="1"/>
  <c r="U128" i="3"/>
  <c r="D129" i="3" s="1"/>
  <c r="AG129" i="3"/>
  <c r="Y127" i="3"/>
  <c r="G129" i="3" l="1"/>
  <c r="E129" i="3"/>
  <c r="H129" i="3" s="1"/>
  <c r="F129" i="3" l="1"/>
  <c r="I129" i="3"/>
  <c r="J129" i="3"/>
  <c r="M129" i="3"/>
  <c r="N129" i="3" s="1"/>
  <c r="K129" i="3"/>
  <c r="A130" i="3" s="1"/>
  <c r="B130" i="3" s="1"/>
  <c r="AD130" i="3" l="1"/>
  <c r="P130" i="3"/>
  <c r="Q130" i="3" s="1"/>
  <c r="R130" i="3" s="1"/>
  <c r="S130" i="3" s="1"/>
  <c r="AA130" i="3"/>
  <c r="Z130" i="3"/>
  <c r="AC130" i="3"/>
  <c r="V129" i="3"/>
  <c r="W129" i="3" s="1"/>
  <c r="AE129" i="3"/>
  <c r="L129" i="3"/>
  <c r="T130" i="3" l="1"/>
  <c r="AH130" i="3" s="1"/>
  <c r="U129" i="3"/>
  <c r="Y128" i="3"/>
  <c r="AG130" i="3" l="1"/>
  <c r="E130" i="3"/>
  <c r="H130" i="3" s="1"/>
  <c r="K130" i="3" s="1"/>
  <c r="A131" i="3" s="1"/>
  <c r="B131" i="3" s="1"/>
  <c r="D130" i="3"/>
  <c r="G130" i="3" s="1"/>
  <c r="AC131" i="3" l="1"/>
  <c r="Z131" i="3"/>
  <c r="AA131" i="3"/>
  <c r="P131" i="3"/>
  <c r="Q131" i="3" s="1"/>
  <c r="R131" i="3" s="1"/>
  <c r="S131" i="3" s="1"/>
  <c r="AD131" i="3"/>
  <c r="F130" i="3"/>
  <c r="V130" i="3"/>
  <c r="AE130" i="3"/>
  <c r="I130" i="3"/>
  <c r="J130" i="3"/>
  <c r="M130" i="3"/>
  <c r="N130" i="3" s="1"/>
  <c r="T131" i="3" l="1"/>
  <c r="L130" i="3"/>
  <c r="W130" i="3"/>
  <c r="U130" i="3" l="1"/>
  <c r="E131" i="3" s="1"/>
  <c r="H131" i="3" s="1"/>
  <c r="AH131" i="3"/>
  <c r="AG131" i="3"/>
  <c r="Y129" i="3"/>
  <c r="D131" i="3" l="1"/>
  <c r="F131" i="3" s="1"/>
  <c r="K131" i="3"/>
  <c r="A132" i="3" s="1"/>
  <c r="B132" i="3" s="1"/>
  <c r="AD132" i="3" l="1"/>
  <c r="P132" i="3"/>
  <c r="Q132" i="3" s="1"/>
  <c r="R132" i="3" s="1"/>
  <c r="S132" i="3" s="1"/>
  <c r="Z132" i="3"/>
  <c r="AA132" i="3"/>
  <c r="AC132" i="3"/>
  <c r="G131" i="3"/>
  <c r="M131" i="3" s="1"/>
  <c r="N131" i="3" s="1"/>
  <c r="V131" i="3"/>
  <c r="AE131" i="3"/>
  <c r="T132" i="3" l="1"/>
  <c r="J131" i="3"/>
  <c r="L131" i="3" s="1"/>
  <c r="I131" i="3"/>
  <c r="W131" i="3" s="1"/>
  <c r="U131" i="3" l="1"/>
  <c r="E132" i="3" s="1"/>
  <c r="H132" i="3" s="1"/>
  <c r="AH132" i="3"/>
  <c r="AG132" i="3"/>
  <c r="Y130" i="3"/>
  <c r="K132" i="3" l="1"/>
  <c r="A133" i="3" s="1"/>
  <c r="B133" i="3" s="1"/>
  <c r="D132" i="3"/>
  <c r="P133" i="3" l="1"/>
  <c r="Q133" i="3" s="1"/>
  <c r="R133" i="3" s="1"/>
  <c r="S133" i="3" s="1"/>
  <c r="Z133" i="3"/>
  <c r="AC133" i="3"/>
  <c r="AD133" i="3"/>
  <c r="AA133" i="3"/>
  <c r="V132" i="3"/>
  <c r="AE132" i="3"/>
  <c r="F132" i="3"/>
  <c r="G132" i="3"/>
  <c r="T133" i="3" l="1"/>
  <c r="I132" i="3"/>
  <c r="W132" i="3" s="1"/>
  <c r="J132" i="3"/>
  <c r="M132" i="3"/>
  <c r="N132" i="3" s="1"/>
  <c r="L132" i="3" l="1"/>
  <c r="U132" i="3" l="1"/>
  <c r="D133" i="3" s="1"/>
  <c r="AH133" i="3"/>
  <c r="AG133" i="3"/>
  <c r="Y131" i="3"/>
  <c r="E133" i="3" l="1"/>
  <c r="H133" i="3" s="1"/>
  <c r="K133" i="3" s="1"/>
  <c r="A134" i="3" s="1"/>
  <c r="B134" i="3" s="1"/>
  <c r="G133" i="3"/>
  <c r="P134" i="3" l="1"/>
  <c r="Q134" i="3" s="1"/>
  <c r="R134" i="3" s="1"/>
  <c r="S134" i="3" s="1"/>
  <c r="AC134" i="3"/>
  <c r="AA134" i="3"/>
  <c r="Z134" i="3"/>
  <c r="F133" i="3"/>
  <c r="V133" i="3"/>
  <c r="AE133" i="3"/>
  <c r="I133" i="3"/>
  <c r="J133" i="3"/>
  <c r="M133" i="3"/>
  <c r="N133" i="3" s="1"/>
  <c r="T134" i="3" l="1"/>
  <c r="W133" i="3"/>
  <c r="L133" i="3"/>
  <c r="AG134" i="3" l="1"/>
  <c r="U133" i="3"/>
  <c r="D134" i="3" s="1"/>
  <c r="AH134" i="3"/>
  <c r="Y132" i="3"/>
  <c r="E134" i="3" l="1"/>
  <c r="H134" i="3" s="1"/>
  <c r="K134" i="3" s="1"/>
  <c r="A135" i="3" s="1"/>
  <c r="B135" i="3" s="1"/>
  <c r="G134" i="3"/>
  <c r="P135" i="3" l="1"/>
  <c r="Q135" i="3" s="1"/>
  <c r="R135" i="3" s="1"/>
  <c r="S135" i="3" s="1"/>
  <c r="AA135" i="3"/>
  <c r="AC135" i="3"/>
  <c r="Z135" i="3"/>
  <c r="AD135" i="3"/>
  <c r="F134" i="3"/>
  <c r="I134" i="3"/>
  <c r="J134" i="3"/>
  <c r="AD134" i="3" s="1"/>
  <c r="M134" i="3"/>
  <c r="N134" i="3" s="1"/>
  <c r="V134" i="3"/>
  <c r="AE134" i="3"/>
  <c r="T135" i="3" l="1"/>
  <c r="W134" i="3"/>
  <c r="L134" i="3"/>
  <c r="U134" i="3" l="1"/>
  <c r="E135" i="3" s="1"/>
  <c r="H135" i="3" s="1"/>
  <c r="AH135" i="3"/>
  <c r="AG135" i="3"/>
  <c r="Y133" i="3"/>
  <c r="K135" i="3" l="1"/>
  <c r="A136" i="3" s="1"/>
  <c r="B136" i="3" s="1"/>
  <c r="D135" i="3"/>
  <c r="P136" i="3" l="1"/>
  <c r="Q136" i="3" s="1"/>
  <c r="R136" i="3" s="1"/>
  <c r="S136" i="3" s="1"/>
  <c r="Z136" i="3"/>
  <c r="AD136" i="3"/>
  <c r="AC136" i="3"/>
  <c r="AA136" i="3"/>
  <c r="V135" i="3"/>
  <c r="AE135" i="3"/>
  <c r="F135" i="3"/>
  <c r="G135" i="3"/>
  <c r="T136" i="3" l="1"/>
  <c r="I135" i="3"/>
  <c r="W135" i="3" s="1"/>
  <c r="J135" i="3"/>
  <c r="M135" i="3"/>
  <c r="N135" i="3" s="1"/>
  <c r="L135" i="3" l="1"/>
  <c r="AH136" i="3" l="1"/>
  <c r="U135" i="3"/>
  <c r="D136" i="3" s="1"/>
  <c r="AG136" i="3"/>
  <c r="Y134" i="3"/>
  <c r="E136" i="3" l="1"/>
  <c r="H136" i="3" s="1"/>
  <c r="K136" i="3" s="1"/>
  <c r="A137" i="3" s="1"/>
  <c r="B137" i="3" s="1"/>
  <c r="G136" i="3"/>
  <c r="Z137" i="3" l="1"/>
  <c r="P137" i="3"/>
  <c r="Q137" i="3" s="1"/>
  <c r="R137" i="3" s="1"/>
  <c r="S137" i="3" s="1"/>
  <c r="AD137" i="3"/>
  <c r="AC137" i="3"/>
  <c r="AA137" i="3"/>
  <c r="F136" i="3"/>
  <c r="I136" i="3"/>
  <c r="J136" i="3"/>
  <c r="M136" i="3"/>
  <c r="N136" i="3" s="1"/>
  <c r="V136" i="3"/>
  <c r="AE136" i="3"/>
  <c r="T137" i="3" l="1"/>
  <c r="W136" i="3"/>
  <c r="L136" i="3"/>
  <c r="U136" i="3" l="1"/>
  <c r="D137" i="3" s="1"/>
  <c r="AH137" i="3"/>
  <c r="AG137" i="3"/>
  <c r="Y135" i="3"/>
  <c r="E137" i="3" l="1"/>
  <c r="H137" i="3" s="1"/>
  <c r="K137" i="3" s="1"/>
  <c r="A138" i="3" s="1"/>
  <c r="B138" i="3" s="1"/>
  <c r="G137" i="3"/>
  <c r="AC138" i="3" l="1"/>
  <c r="AA138" i="3"/>
  <c r="AD138" i="3"/>
  <c r="Z138" i="3"/>
  <c r="P138" i="3"/>
  <c r="Q138" i="3" s="1"/>
  <c r="R138" i="3" s="1"/>
  <c r="S138" i="3" s="1"/>
  <c r="F137" i="3"/>
  <c r="I137" i="3"/>
  <c r="J137" i="3"/>
  <c r="M137" i="3"/>
  <c r="N137" i="3" s="1"/>
  <c r="V137" i="3"/>
  <c r="AE137" i="3"/>
  <c r="T138" i="3" l="1"/>
  <c r="W137" i="3"/>
  <c r="L137" i="3"/>
  <c r="AH138" i="3" l="1"/>
  <c r="U137" i="3"/>
  <c r="E138" i="3" s="1"/>
  <c r="H138" i="3" s="1"/>
  <c r="AG138" i="3"/>
  <c r="Y136" i="3"/>
  <c r="D138" i="3" l="1"/>
  <c r="F138" i="3" s="1"/>
  <c r="K138" i="3"/>
  <c r="A139" i="3" s="1"/>
  <c r="B139" i="3" s="1"/>
  <c r="AD139" i="3" l="1"/>
  <c r="AC139" i="3"/>
  <c r="Z139" i="3"/>
  <c r="AA139" i="3"/>
  <c r="P139" i="3"/>
  <c r="Q139" i="3" s="1"/>
  <c r="R139" i="3" s="1"/>
  <c r="S139" i="3" s="1"/>
  <c r="G138" i="3"/>
  <c r="M138" i="3" s="1"/>
  <c r="N138" i="3" s="1"/>
  <c r="V138" i="3"/>
  <c r="AE138" i="3"/>
  <c r="T139" i="3" l="1"/>
  <c r="I138" i="3"/>
  <c r="W138" i="3" s="1"/>
  <c r="J138" i="3"/>
  <c r="L138" i="3" s="1"/>
  <c r="U138" i="3" l="1"/>
  <c r="E139" i="3" s="1"/>
  <c r="H139" i="3" s="1"/>
  <c r="AG139" i="3"/>
  <c r="AH139" i="3"/>
  <c r="Y137" i="3"/>
  <c r="D139" i="3" l="1"/>
  <c r="G139" i="3" s="1"/>
  <c r="K139" i="3"/>
  <c r="A140" i="3" s="1"/>
  <c r="B140" i="3" s="1"/>
  <c r="AD140" i="3" l="1"/>
  <c r="AA140" i="3"/>
  <c r="AC140" i="3"/>
  <c r="Z140" i="3"/>
  <c r="P140" i="3"/>
  <c r="Q140" i="3" s="1"/>
  <c r="R140" i="3" s="1"/>
  <c r="S140" i="3" s="1"/>
  <c r="F139" i="3"/>
  <c r="V139" i="3"/>
  <c r="AE139" i="3"/>
  <c r="I139" i="3"/>
  <c r="J139" i="3"/>
  <c r="M139" i="3"/>
  <c r="N139" i="3" s="1"/>
  <c r="T140" i="3" l="1"/>
  <c r="W139" i="3"/>
  <c r="L139" i="3"/>
  <c r="AG140" i="3" l="1"/>
  <c r="U139" i="3"/>
  <c r="E140" i="3" s="1"/>
  <c r="H140" i="3" s="1"/>
  <c r="AH140" i="3"/>
  <c r="Y138" i="3"/>
  <c r="D140" i="3" l="1"/>
  <c r="G140" i="3" s="1"/>
  <c r="K140" i="3"/>
  <c r="A141" i="3" s="1"/>
  <c r="B141" i="3" s="1"/>
  <c r="P141" i="3" l="1"/>
  <c r="Q141" i="3" s="1"/>
  <c r="R141" i="3" s="1"/>
  <c r="S141" i="3" s="1"/>
  <c r="AC141" i="3"/>
  <c r="Z141" i="3"/>
  <c r="AA141" i="3"/>
  <c r="AD141" i="3"/>
  <c r="F140" i="3"/>
  <c r="V140" i="3"/>
  <c r="AE140" i="3"/>
  <c r="I140" i="3"/>
  <c r="J140" i="3"/>
  <c r="M140" i="3"/>
  <c r="N140" i="3" s="1"/>
  <c r="T141" i="3" l="1"/>
  <c r="W140" i="3"/>
  <c r="L140" i="3"/>
  <c r="AG141" i="3" l="1"/>
  <c r="U140" i="3"/>
  <c r="D141" i="3" s="1"/>
  <c r="AH141" i="3"/>
  <c r="Y139" i="3"/>
  <c r="E141" i="3" l="1"/>
  <c r="H141" i="3" s="1"/>
  <c r="K141" i="3" s="1"/>
  <c r="A142" i="3" s="1"/>
  <c r="B142" i="3" s="1"/>
  <c r="G141" i="3"/>
  <c r="AA142" i="3" l="1"/>
  <c r="AC142" i="3"/>
  <c r="Z142" i="3"/>
  <c r="AD142" i="3"/>
  <c r="P142" i="3"/>
  <c r="Q142" i="3" s="1"/>
  <c r="R142" i="3" s="1"/>
  <c r="S142" i="3" s="1"/>
  <c r="F141" i="3"/>
  <c r="I141" i="3"/>
  <c r="J141" i="3"/>
  <c r="M141" i="3"/>
  <c r="N141" i="3" s="1"/>
  <c r="V141" i="3"/>
  <c r="AE141" i="3"/>
  <c r="T142" i="3" l="1"/>
  <c r="W141" i="3"/>
  <c r="L141" i="3"/>
  <c r="U141" i="3" l="1"/>
  <c r="D142" i="3" s="1"/>
  <c r="AH142" i="3"/>
  <c r="AG142" i="3"/>
  <c r="Y140" i="3"/>
  <c r="E142" i="3" l="1"/>
  <c r="H142" i="3" s="1"/>
  <c r="K142" i="3" s="1"/>
  <c r="A143" i="3" s="1"/>
  <c r="B143" i="3" s="1"/>
  <c r="G142" i="3"/>
  <c r="P143" i="3" l="1"/>
  <c r="Q143" i="3" s="1"/>
  <c r="R143" i="3" s="1"/>
  <c r="S143" i="3" s="1"/>
  <c r="AC143" i="3"/>
  <c r="AA143" i="3"/>
  <c r="Z143" i="3"/>
  <c r="AD143" i="3"/>
  <c r="F142" i="3"/>
  <c r="V142" i="3"/>
  <c r="AE142" i="3"/>
  <c r="I142" i="3"/>
  <c r="J142" i="3"/>
  <c r="M142" i="3"/>
  <c r="N142" i="3" s="1"/>
  <c r="T143" i="3" l="1"/>
  <c r="W142" i="3"/>
  <c r="L142" i="3"/>
  <c r="U142" i="3" l="1"/>
  <c r="E143" i="3" s="1"/>
  <c r="H143" i="3" s="1"/>
  <c r="AG143" i="3"/>
  <c r="AH143" i="3"/>
  <c r="Y141" i="3"/>
  <c r="D143" i="3" l="1"/>
  <c r="F143" i="3" s="1"/>
  <c r="K143" i="3"/>
  <c r="A144" i="3" s="1"/>
  <c r="B144" i="3" s="1"/>
  <c r="Z144" i="3" l="1"/>
  <c r="AA144" i="3"/>
  <c r="P144" i="3"/>
  <c r="Q144" i="3" s="1"/>
  <c r="R144" i="3" s="1"/>
  <c r="S144" i="3" s="1"/>
  <c r="AC144" i="3"/>
  <c r="G143" i="3"/>
  <c r="M143" i="3" s="1"/>
  <c r="N143" i="3" s="1"/>
  <c r="V143" i="3"/>
  <c r="AE143" i="3"/>
  <c r="T144" i="3" l="1"/>
  <c r="J143" i="3"/>
  <c r="L143" i="3" s="1"/>
  <c r="I143" i="3"/>
  <c r="W143" i="3" s="1"/>
  <c r="U143" i="3" l="1"/>
  <c r="D144" i="3" s="1"/>
  <c r="AG144" i="3"/>
  <c r="AH144" i="3"/>
  <c r="Y142" i="3"/>
  <c r="E144" i="3" l="1"/>
  <c r="H144" i="3" s="1"/>
  <c r="K144" i="3" s="1"/>
  <c r="A145" i="3" s="1"/>
  <c r="B145" i="3" s="1"/>
  <c r="G144" i="3"/>
  <c r="P145" i="3" l="1"/>
  <c r="Q145" i="3" s="1"/>
  <c r="R145" i="3" s="1"/>
  <c r="S145" i="3" s="1"/>
  <c r="Z145" i="3"/>
  <c r="AA145" i="3"/>
  <c r="AC145" i="3"/>
  <c r="AD145" i="3"/>
  <c r="F144" i="3"/>
  <c r="V144" i="3"/>
  <c r="AE144" i="3"/>
  <c r="I144" i="3"/>
  <c r="J144" i="3"/>
  <c r="AD144" i="3" s="1"/>
  <c r="M144" i="3"/>
  <c r="N144" i="3" s="1"/>
  <c r="T145" i="3" l="1"/>
  <c r="W144" i="3"/>
  <c r="L144" i="3"/>
  <c r="AH145" i="3" l="1"/>
  <c r="AG145" i="3"/>
  <c r="U144" i="3"/>
  <c r="D145" i="3" s="1"/>
  <c r="Y143" i="3"/>
  <c r="E145" i="3" l="1"/>
  <c r="H145" i="3" s="1"/>
  <c r="K145" i="3" s="1"/>
  <c r="A146" i="3" s="1"/>
  <c r="B146" i="3" s="1"/>
  <c r="G145" i="3"/>
  <c r="AA146" i="3" l="1"/>
  <c r="AD146" i="3"/>
  <c r="AC146" i="3"/>
  <c r="Z146" i="3"/>
  <c r="P146" i="3"/>
  <c r="Q146" i="3" s="1"/>
  <c r="R146" i="3" s="1"/>
  <c r="S146" i="3" s="1"/>
  <c r="F145" i="3"/>
  <c r="I145" i="3"/>
  <c r="J145" i="3"/>
  <c r="M145" i="3"/>
  <c r="N145" i="3" s="1"/>
  <c r="V145" i="3"/>
  <c r="AE145" i="3"/>
  <c r="T146" i="3" l="1"/>
  <c r="W145" i="3"/>
  <c r="L145" i="3"/>
  <c r="U145" i="3" l="1"/>
  <c r="D146" i="3" s="1"/>
  <c r="AH146" i="3"/>
  <c r="AG146" i="3"/>
  <c r="Y144" i="3"/>
  <c r="E146" i="3" l="1"/>
  <c r="H146" i="3" s="1"/>
  <c r="K146" i="3" s="1"/>
  <c r="A147" i="3" s="1"/>
  <c r="B147" i="3" s="1"/>
  <c r="G146" i="3"/>
  <c r="Z147" i="3" l="1"/>
  <c r="AC147" i="3"/>
  <c r="AA147" i="3"/>
  <c r="P147" i="3"/>
  <c r="Q147" i="3" s="1"/>
  <c r="R147" i="3" s="1"/>
  <c r="S147" i="3" s="1"/>
  <c r="AD147" i="3"/>
  <c r="F146" i="3"/>
  <c r="I146" i="3"/>
  <c r="J146" i="3"/>
  <c r="M146" i="3"/>
  <c r="N146" i="3" s="1"/>
  <c r="V146" i="3"/>
  <c r="AE146" i="3"/>
  <c r="T147" i="3" l="1"/>
  <c r="W146" i="3"/>
  <c r="L146" i="3"/>
  <c r="U146" i="3" l="1"/>
  <c r="D147" i="3" s="1"/>
  <c r="AG147" i="3"/>
  <c r="AH147" i="3"/>
  <c r="Y145" i="3"/>
  <c r="E147" i="3" l="1"/>
  <c r="H147" i="3" s="1"/>
  <c r="K147" i="3" s="1"/>
  <c r="A148" i="3" s="1"/>
  <c r="B148" i="3" s="1"/>
  <c r="G147" i="3"/>
  <c r="P148" i="3" l="1"/>
  <c r="Q148" i="3" s="1"/>
  <c r="R148" i="3" s="1"/>
  <c r="S148" i="3" s="1"/>
  <c r="Z148" i="3"/>
  <c r="AD148" i="3"/>
  <c r="AC148" i="3"/>
  <c r="AA148" i="3"/>
  <c r="F147" i="3"/>
  <c r="V147" i="3"/>
  <c r="AE147" i="3"/>
  <c r="I147" i="3"/>
  <c r="J147" i="3"/>
  <c r="M147" i="3"/>
  <c r="N147" i="3" s="1"/>
  <c r="T148" i="3" l="1"/>
  <c r="W147" i="3"/>
  <c r="L147" i="3"/>
  <c r="AG148" i="3" l="1"/>
  <c r="U147" i="3"/>
  <c r="E148" i="3" s="1"/>
  <c r="H148" i="3" s="1"/>
  <c r="AH148" i="3"/>
  <c r="Y146" i="3"/>
  <c r="K148" i="3" l="1"/>
  <c r="A149" i="3" s="1"/>
  <c r="B149" i="3" s="1"/>
  <c r="D148" i="3"/>
  <c r="P149" i="3" l="1"/>
  <c r="Q149" i="3" s="1"/>
  <c r="R149" i="3" s="1"/>
  <c r="S149" i="3" s="1"/>
  <c r="AD149" i="3"/>
  <c r="AC149" i="3"/>
  <c r="AA149" i="3"/>
  <c r="Z149" i="3"/>
  <c r="V148" i="3"/>
  <c r="AE148" i="3"/>
  <c r="F148" i="3"/>
  <c r="G148" i="3"/>
  <c r="T149" i="3" l="1"/>
  <c r="I148" i="3"/>
  <c r="W148" i="3" s="1"/>
  <c r="J148" i="3"/>
  <c r="M148" i="3"/>
  <c r="N148" i="3" s="1"/>
  <c r="L148" i="3" l="1"/>
  <c r="AG149" i="3" l="1"/>
  <c r="U148" i="3"/>
  <c r="D149" i="3" s="1"/>
  <c r="AH149" i="3"/>
  <c r="Y147" i="3"/>
  <c r="E149" i="3" l="1"/>
  <c r="H149" i="3" s="1"/>
  <c r="K149" i="3" s="1"/>
  <c r="A150" i="3" s="1"/>
  <c r="B150" i="3" s="1"/>
  <c r="G149" i="3"/>
  <c r="P150" i="3" l="1"/>
  <c r="Q150" i="3" s="1"/>
  <c r="R150" i="3" s="1"/>
  <c r="S150" i="3" s="1"/>
  <c r="Z150" i="3"/>
  <c r="AD150" i="3"/>
  <c r="AA150" i="3"/>
  <c r="AC150" i="3"/>
  <c r="F149" i="3"/>
  <c r="I149" i="3"/>
  <c r="J149" i="3"/>
  <c r="M149" i="3"/>
  <c r="N149" i="3" s="1"/>
  <c r="V149" i="3"/>
  <c r="AE149" i="3"/>
  <c r="T150" i="3" l="1"/>
  <c r="W149" i="3"/>
  <c r="L149" i="3"/>
  <c r="AH150" i="3" l="1"/>
  <c r="U149" i="3"/>
  <c r="D150" i="3" s="1"/>
  <c r="AG150" i="3"/>
  <c r="Y148" i="3"/>
  <c r="E150" i="3" l="1"/>
  <c r="H150" i="3" s="1"/>
  <c r="K150" i="3" s="1"/>
  <c r="A151" i="3" s="1"/>
  <c r="B151" i="3" s="1"/>
  <c r="G150" i="3"/>
  <c r="P151" i="3" l="1"/>
  <c r="Q151" i="3" s="1"/>
  <c r="R151" i="3" s="1"/>
  <c r="S151" i="3" s="1"/>
  <c r="AC151" i="3"/>
  <c r="AD151" i="3"/>
  <c r="Z151" i="3"/>
  <c r="AA151" i="3"/>
  <c r="F150" i="3"/>
  <c r="I150" i="3"/>
  <c r="J150" i="3"/>
  <c r="M150" i="3"/>
  <c r="N150" i="3" s="1"/>
  <c r="V150" i="3"/>
  <c r="AE150" i="3"/>
  <c r="T151" i="3" l="1"/>
  <c r="W150" i="3"/>
  <c r="L150" i="3"/>
  <c r="AH151" i="3" l="1"/>
  <c r="U150" i="3"/>
  <c r="E151" i="3" s="1"/>
  <c r="H151" i="3" s="1"/>
  <c r="AG151" i="3"/>
  <c r="Y149" i="3"/>
  <c r="D151" i="3" l="1"/>
  <c r="G151" i="3" s="1"/>
  <c r="K151" i="3"/>
  <c r="A152" i="3" s="1"/>
  <c r="B152" i="3" s="1"/>
  <c r="AC152" i="3" l="1"/>
  <c r="AA152" i="3"/>
  <c r="P152" i="3"/>
  <c r="Q152" i="3" s="1"/>
  <c r="R152" i="3" s="1"/>
  <c r="S152" i="3" s="1"/>
  <c r="Z152" i="3"/>
  <c r="AD152" i="3"/>
  <c r="F151" i="3"/>
  <c r="I151" i="3"/>
  <c r="J151" i="3"/>
  <c r="M151" i="3"/>
  <c r="N151" i="3" s="1"/>
  <c r="V151" i="3"/>
  <c r="AE151" i="3"/>
  <c r="T152" i="3" l="1"/>
  <c r="W151" i="3"/>
  <c r="L151" i="3"/>
  <c r="AH152" i="3" l="1"/>
  <c r="AG152" i="3"/>
  <c r="U151" i="3"/>
  <c r="E152" i="3" s="1"/>
  <c r="H152" i="3" s="1"/>
  <c r="Y150" i="3"/>
  <c r="D152" i="3" l="1"/>
  <c r="G152" i="3" s="1"/>
  <c r="K152" i="3"/>
  <c r="A153" i="3" s="1"/>
  <c r="B153" i="3" s="1"/>
  <c r="AD153" i="3" l="1"/>
  <c r="P153" i="3"/>
  <c r="Q153" i="3" s="1"/>
  <c r="R153" i="3" s="1"/>
  <c r="S153" i="3" s="1"/>
  <c r="AA153" i="3"/>
  <c r="AC153" i="3"/>
  <c r="Z153" i="3"/>
  <c r="F152" i="3"/>
  <c r="V152" i="3"/>
  <c r="AE152" i="3"/>
  <c r="I152" i="3"/>
  <c r="J152" i="3"/>
  <c r="M152" i="3"/>
  <c r="N152" i="3" s="1"/>
  <c r="T153" i="3" l="1"/>
  <c r="W152" i="3"/>
  <c r="L152" i="3"/>
  <c r="AH153" i="3" l="1"/>
  <c r="U152" i="3"/>
  <c r="D153" i="3" s="1"/>
  <c r="AG153" i="3"/>
  <c r="Y151" i="3"/>
  <c r="G153" i="3" l="1"/>
  <c r="E153" i="3"/>
  <c r="H153" i="3" s="1"/>
  <c r="K153" i="3" l="1"/>
  <c r="A154" i="3" s="1"/>
  <c r="B154" i="3" s="1"/>
  <c r="I153" i="3"/>
  <c r="J153" i="3"/>
  <c r="M153" i="3"/>
  <c r="N153" i="3" s="1"/>
  <c r="F153" i="3"/>
  <c r="P154" i="3" l="1"/>
  <c r="Q154" i="3" s="1"/>
  <c r="R154" i="3" s="1"/>
  <c r="S154" i="3" s="1"/>
  <c r="Z154" i="3"/>
  <c r="AC154" i="3"/>
  <c r="AA154" i="3"/>
  <c r="V153" i="3"/>
  <c r="W153" i="3" s="1"/>
  <c r="AE153" i="3"/>
  <c r="L153" i="3"/>
  <c r="T154" i="3" l="1"/>
  <c r="AG154" i="3" s="1"/>
  <c r="U153" i="3"/>
  <c r="Y152" i="3"/>
  <c r="AH154" i="3" l="1"/>
  <c r="D154" i="3"/>
  <c r="G154" i="3" s="1"/>
  <c r="E154" i="3"/>
  <c r="H154" i="3" s="1"/>
  <c r="K154" i="3" s="1"/>
  <c r="A155" i="3" s="1"/>
  <c r="B155" i="3" s="1"/>
  <c r="AC155" i="3" l="1"/>
  <c r="P155" i="3"/>
  <c r="Q155" i="3" s="1"/>
  <c r="R155" i="3" s="1"/>
  <c r="S155" i="3" s="1"/>
  <c r="AA155" i="3"/>
  <c r="Z155" i="3"/>
  <c r="F154" i="3"/>
  <c r="I154" i="3"/>
  <c r="J154" i="3"/>
  <c r="AD154" i="3" s="1"/>
  <c r="M154" i="3"/>
  <c r="N154" i="3" s="1"/>
  <c r="V154" i="3"/>
  <c r="AE154" i="3"/>
  <c r="T155" i="3" l="1"/>
  <c r="L154" i="3"/>
  <c r="W154" i="3"/>
  <c r="U154" i="3" l="1"/>
  <c r="E155" i="3" s="1"/>
  <c r="H155" i="3" s="1"/>
  <c r="AH155" i="3"/>
  <c r="AG155" i="3"/>
  <c r="Y153" i="3"/>
  <c r="D155" i="3" l="1"/>
  <c r="G155" i="3" s="1"/>
  <c r="K155" i="3"/>
  <c r="A156" i="3" s="1"/>
  <c r="B156" i="3" s="1"/>
  <c r="AA156" i="3" l="1"/>
  <c r="Z156" i="3"/>
  <c r="AC156" i="3"/>
  <c r="P156" i="3"/>
  <c r="Q156" i="3" s="1"/>
  <c r="R156" i="3" s="1"/>
  <c r="S156" i="3" s="1"/>
  <c r="F155" i="3"/>
  <c r="V155" i="3"/>
  <c r="AE155" i="3"/>
  <c r="I155" i="3"/>
  <c r="J155" i="3"/>
  <c r="AD155" i="3" s="1"/>
  <c r="M155" i="3"/>
  <c r="N155" i="3" s="1"/>
  <c r="T156" i="3" l="1"/>
  <c r="W155" i="3"/>
  <c r="L155" i="3"/>
  <c r="AG156" i="3" l="1"/>
  <c r="U155" i="3"/>
  <c r="D156" i="3" s="1"/>
  <c r="AH156" i="3"/>
  <c r="Y154" i="3"/>
  <c r="E156" i="3" l="1"/>
  <c r="H156" i="3" s="1"/>
  <c r="K156" i="3" s="1"/>
  <c r="A157" i="3" s="1"/>
  <c r="B157" i="3" s="1"/>
  <c r="G156" i="3"/>
  <c r="P157" i="3" l="1"/>
  <c r="Q157" i="3" s="1"/>
  <c r="R157" i="3" s="1"/>
  <c r="S157" i="3" s="1"/>
  <c r="Z157" i="3"/>
  <c r="AA157" i="3"/>
  <c r="AC157" i="3"/>
  <c r="F156" i="3"/>
  <c r="V156" i="3"/>
  <c r="AE156" i="3"/>
  <c r="I156" i="3"/>
  <c r="J156" i="3"/>
  <c r="AD156" i="3" s="1"/>
  <c r="M156" i="3"/>
  <c r="N156" i="3" s="1"/>
  <c r="T157" i="3" l="1"/>
  <c r="W156" i="3"/>
  <c r="L156" i="3"/>
  <c r="U156" i="3" l="1"/>
  <c r="E157" i="3" s="1"/>
  <c r="H157" i="3" s="1"/>
  <c r="AH157" i="3"/>
  <c r="AG157" i="3"/>
  <c r="Y155" i="3"/>
  <c r="D157" i="3" l="1"/>
  <c r="G157" i="3" s="1"/>
  <c r="K157" i="3"/>
  <c r="A158" i="3" s="1"/>
  <c r="B158" i="3" s="1"/>
  <c r="AA158" i="3" l="1"/>
  <c r="AC158" i="3"/>
  <c r="Z158" i="3"/>
  <c r="P158" i="3"/>
  <c r="Q158" i="3" s="1"/>
  <c r="R158" i="3" s="1"/>
  <c r="S158" i="3" s="1"/>
  <c r="F157" i="3"/>
  <c r="I157" i="3"/>
  <c r="J157" i="3"/>
  <c r="AD157" i="3" s="1"/>
  <c r="M157" i="3"/>
  <c r="N157" i="3" s="1"/>
  <c r="V157" i="3"/>
  <c r="AE157" i="3"/>
  <c r="T158" i="3" l="1"/>
  <c r="W157" i="3"/>
  <c r="L157" i="3"/>
  <c r="U157" i="3" l="1"/>
  <c r="E158" i="3" s="1"/>
  <c r="H158" i="3" s="1"/>
  <c r="AH158" i="3"/>
  <c r="AG158" i="3"/>
  <c r="Y156" i="3"/>
  <c r="D158" i="3" l="1"/>
  <c r="F158" i="3" s="1"/>
  <c r="K158" i="3"/>
  <c r="A159" i="3" s="1"/>
  <c r="B159" i="3" s="1"/>
  <c r="AC159" i="3" l="1"/>
  <c r="Z159" i="3"/>
  <c r="AA159" i="3"/>
  <c r="P159" i="3"/>
  <c r="Q159" i="3" s="1"/>
  <c r="R159" i="3" s="1"/>
  <c r="S159" i="3" s="1"/>
  <c r="G158" i="3"/>
  <c r="I158" i="3" s="1"/>
  <c r="V158" i="3"/>
  <c r="AE158" i="3"/>
  <c r="T159" i="3" l="1"/>
  <c r="M158" i="3"/>
  <c r="N158" i="3" s="1"/>
  <c r="J158" i="3"/>
  <c r="W158" i="3"/>
  <c r="L158" i="3" l="1"/>
  <c r="U158" i="3" s="1"/>
  <c r="E159" i="3" s="1"/>
  <c r="H159" i="3" s="1"/>
  <c r="AD158" i="3"/>
  <c r="Y157" i="3" l="1"/>
  <c r="AH159" i="3"/>
  <c r="AG159" i="3"/>
  <c r="D159" i="3"/>
  <c r="F159" i="3" s="1"/>
  <c r="K159" i="3"/>
  <c r="A160" i="3" s="1"/>
  <c r="B160" i="3" s="1"/>
  <c r="AA160" i="3" l="1"/>
  <c r="P160" i="3"/>
  <c r="Q160" i="3" s="1"/>
  <c r="R160" i="3" s="1"/>
  <c r="S160" i="3" s="1"/>
  <c r="Z160" i="3"/>
  <c r="AC160" i="3"/>
  <c r="G159" i="3"/>
  <c r="M159" i="3" s="1"/>
  <c r="N159" i="3" s="1"/>
  <c r="V159" i="3"/>
  <c r="AE159" i="3"/>
  <c r="T160" i="3" l="1"/>
  <c r="I159" i="3"/>
  <c r="W159" i="3" s="1"/>
  <c r="J159" i="3"/>
  <c r="L159" i="3" l="1"/>
  <c r="AH160" i="3" s="1"/>
  <c r="AD159" i="3"/>
  <c r="Y158" i="3" l="1"/>
  <c r="AG160" i="3"/>
  <c r="U159" i="3"/>
  <c r="E160" i="3" s="1"/>
  <c r="H160" i="3" s="1"/>
  <c r="K160" i="3" s="1"/>
  <c r="A161" i="3" s="1"/>
  <c r="B161" i="3" s="1"/>
  <c r="D160" i="3" l="1"/>
  <c r="G160" i="3" s="1"/>
  <c r="I160" i="3" s="1"/>
  <c r="Z161" i="3"/>
  <c r="AA161" i="3"/>
  <c r="P161" i="3"/>
  <c r="Q161" i="3" s="1"/>
  <c r="R161" i="3" s="1"/>
  <c r="S161" i="3" s="1"/>
  <c r="AC161" i="3"/>
  <c r="V160" i="3"/>
  <c r="AE160" i="3"/>
  <c r="M160" i="3" l="1"/>
  <c r="N160" i="3" s="1"/>
  <c r="F160" i="3"/>
  <c r="J160" i="3"/>
  <c r="AD160" i="3" s="1"/>
  <c r="T161" i="3"/>
  <c r="W160" i="3"/>
  <c r="L160" i="3" l="1"/>
  <c r="AG161" i="3" s="1"/>
  <c r="Y159" i="3" l="1"/>
  <c r="U160" i="3"/>
  <c r="E161" i="3" s="1"/>
  <c r="H161" i="3" s="1"/>
  <c r="K161" i="3" s="1"/>
  <c r="A162" i="3" s="1"/>
  <c r="B162" i="3" s="1"/>
  <c r="AH161" i="3"/>
  <c r="D161" i="3" l="1"/>
  <c r="G161" i="3" s="1"/>
  <c r="I161" i="3" s="1"/>
  <c r="Z162" i="3"/>
  <c r="P162" i="3"/>
  <c r="Q162" i="3" s="1"/>
  <c r="R162" i="3" s="1"/>
  <c r="S162" i="3" s="1"/>
  <c r="AC162" i="3"/>
  <c r="AA162" i="3"/>
  <c r="V161" i="3"/>
  <c r="AE161" i="3"/>
  <c r="M161" i="3" l="1"/>
  <c r="N161" i="3" s="1"/>
  <c r="J161" i="3"/>
  <c r="AD161" i="3" s="1"/>
  <c r="F161" i="3"/>
  <c r="T162" i="3"/>
  <c r="W161" i="3"/>
  <c r="L161" i="3" l="1"/>
  <c r="U161" i="3" s="1"/>
  <c r="D162" i="3" s="1"/>
  <c r="Y160" i="3" l="1"/>
  <c r="AH162" i="3"/>
  <c r="AG162" i="3"/>
  <c r="G162" i="3"/>
  <c r="E162" i="3"/>
  <c r="H162" i="3" s="1"/>
  <c r="F162" i="3" l="1"/>
  <c r="I162" i="3"/>
  <c r="J162" i="3"/>
  <c r="AD162" i="3" s="1"/>
  <c r="M162" i="3"/>
  <c r="N162" i="3" s="1"/>
  <c r="K162" i="3"/>
  <c r="A163" i="3" s="1"/>
  <c r="B163" i="3" s="1"/>
  <c r="AC163" i="3" l="1"/>
  <c r="Z163" i="3"/>
  <c r="P163" i="3"/>
  <c r="Q163" i="3" s="1"/>
  <c r="R163" i="3" s="1"/>
  <c r="S163" i="3" s="1"/>
  <c r="AA163" i="3"/>
  <c r="V162" i="3"/>
  <c r="W162" i="3" s="1"/>
  <c r="AE162" i="3"/>
  <c r="L162" i="3"/>
  <c r="T163" i="3" l="1"/>
  <c r="AH163" i="3" s="1"/>
  <c r="U162" i="3"/>
  <c r="Y161" i="3"/>
  <c r="AG163" i="3" l="1"/>
  <c r="D163" i="3"/>
  <c r="G163" i="3" s="1"/>
  <c r="E163" i="3"/>
  <c r="H163" i="3" s="1"/>
  <c r="K163" i="3" s="1"/>
  <c r="A164" i="3" s="1"/>
  <c r="B164" i="3" s="1"/>
  <c r="AA164" i="3" l="1"/>
  <c r="Z164" i="3"/>
  <c r="AC164" i="3"/>
  <c r="P164" i="3"/>
  <c r="Q164" i="3" s="1"/>
  <c r="R164" i="3" s="1"/>
  <c r="S164" i="3" s="1"/>
  <c r="F163" i="3"/>
  <c r="V163" i="3"/>
  <c r="AE163" i="3"/>
  <c r="I163" i="3"/>
  <c r="J163" i="3"/>
  <c r="AD163" i="3" s="1"/>
  <c r="M163" i="3"/>
  <c r="N163" i="3" s="1"/>
  <c r="T164" i="3" l="1"/>
  <c r="W163" i="3"/>
  <c r="L163" i="3"/>
  <c r="AH164" i="3" l="1"/>
  <c r="U163" i="3"/>
  <c r="D164" i="3" s="1"/>
  <c r="AG164" i="3"/>
  <c r="Y162" i="3"/>
  <c r="E164" i="3" l="1"/>
  <c r="H164" i="3" s="1"/>
  <c r="K164" i="3" s="1"/>
  <c r="A165" i="3" s="1"/>
  <c r="B165" i="3" s="1"/>
  <c r="G164" i="3"/>
  <c r="AA165" i="3" l="1"/>
  <c r="AC165" i="3"/>
  <c r="Z165" i="3"/>
  <c r="P165" i="3"/>
  <c r="Q165" i="3" s="1"/>
  <c r="R165" i="3" s="1"/>
  <c r="S165" i="3" s="1"/>
  <c r="AD165" i="3"/>
  <c r="F164" i="3"/>
  <c r="I164" i="3"/>
  <c r="J164" i="3"/>
  <c r="AD164" i="3" s="1"/>
  <c r="M164" i="3"/>
  <c r="N164" i="3" s="1"/>
  <c r="V164" i="3"/>
  <c r="AE164" i="3"/>
  <c r="T165" i="3" l="1"/>
  <c r="W164" i="3"/>
  <c r="L164" i="3"/>
  <c r="U164" i="3" l="1"/>
  <c r="D165" i="3" s="1"/>
  <c r="AG165" i="3"/>
  <c r="AH165" i="3"/>
  <c r="Y163" i="3"/>
  <c r="E165" i="3" l="1"/>
  <c r="H165" i="3" s="1"/>
  <c r="K165" i="3" s="1"/>
  <c r="A166" i="3" s="1"/>
  <c r="B166" i="3" s="1"/>
  <c r="G165" i="3"/>
  <c r="AA166" i="3" l="1"/>
  <c r="P166" i="3"/>
  <c r="Q166" i="3" s="1"/>
  <c r="R166" i="3" s="1"/>
  <c r="S166" i="3" s="1"/>
  <c r="AD166" i="3"/>
  <c r="Z166" i="3"/>
  <c r="AC166" i="3"/>
  <c r="F165" i="3"/>
  <c r="V165" i="3"/>
  <c r="AE165" i="3"/>
  <c r="I165" i="3"/>
  <c r="J165" i="3"/>
  <c r="M165" i="3"/>
  <c r="N165" i="3" s="1"/>
  <c r="T166" i="3" l="1"/>
  <c r="L165" i="3"/>
  <c r="W165" i="3"/>
  <c r="AH166" i="3" l="1"/>
  <c r="U165" i="3"/>
  <c r="E166" i="3" s="1"/>
  <c r="H166" i="3" s="1"/>
  <c r="AG166" i="3"/>
  <c r="Y164" i="3"/>
  <c r="D166" i="3" l="1"/>
  <c r="G166" i="3" s="1"/>
  <c r="K166" i="3"/>
  <c r="A167" i="3" s="1"/>
  <c r="B167" i="3" s="1"/>
  <c r="P167" i="3" l="1"/>
  <c r="Q167" i="3" s="1"/>
  <c r="R167" i="3" s="1"/>
  <c r="S167" i="3" s="1"/>
  <c r="AA167" i="3"/>
  <c r="Z167" i="3"/>
  <c r="AD167" i="3"/>
  <c r="AC167" i="3"/>
  <c r="F166" i="3"/>
  <c r="I166" i="3"/>
  <c r="J166" i="3"/>
  <c r="M166" i="3"/>
  <c r="N166" i="3" s="1"/>
  <c r="V166" i="3"/>
  <c r="AE166" i="3"/>
  <c r="T167" i="3" l="1"/>
  <c r="W166" i="3"/>
  <c r="L166" i="3"/>
  <c r="AH167" i="3" l="1"/>
  <c r="AG167" i="3"/>
  <c r="U166" i="3"/>
  <c r="E167" i="3" s="1"/>
  <c r="H167" i="3" s="1"/>
  <c r="Y165" i="3"/>
  <c r="K167" i="3" l="1"/>
  <c r="A168" i="3" s="1"/>
  <c r="B168" i="3" s="1"/>
  <c r="D167" i="3"/>
  <c r="Z168" i="3" l="1"/>
  <c r="AD168" i="3"/>
  <c r="AC168" i="3"/>
  <c r="AA168" i="3"/>
  <c r="P168" i="3"/>
  <c r="Q168" i="3" s="1"/>
  <c r="R168" i="3" s="1"/>
  <c r="S168" i="3" s="1"/>
  <c r="V167" i="3"/>
  <c r="AE167" i="3"/>
  <c r="F167" i="3"/>
  <c r="G167" i="3"/>
  <c r="T168" i="3" l="1"/>
  <c r="I167" i="3"/>
  <c r="W167" i="3" s="1"/>
  <c r="J167" i="3"/>
  <c r="M167" i="3"/>
  <c r="N167" i="3" s="1"/>
  <c r="L167" i="3" l="1"/>
  <c r="AH168" i="3" l="1"/>
  <c r="U167" i="3"/>
  <c r="E168" i="3" s="1"/>
  <c r="H168" i="3" s="1"/>
  <c r="AG168" i="3"/>
  <c r="Y166" i="3"/>
  <c r="D168" i="3" l="1"/>
  <c r="F168" i="3" s="1"/>
  <c r="K168" i="3"/>
  <c r="A169" i="3" s="1"/>
  <c r="B169" i="3" s="1"/>
  <c r="AD169" i="3" l="1"/>
  <c r="Z169" i="3"/>
  <c r="AA169" i="3"/>
  <c r="AC169" i="3"/>
  <c r="P169" i="3"/>
  <c r="Q169" i="3" s="1"/>
  <c r="R169" i="3" s="1"/>
  <c r="S169" i="3" s="1"/>
  <c r="G168" i="3"/>
  <c r="I168" i="3" s="1"/>
  <c r="V168" i="3"/>
  <c r="AE168" i="3"/>
  <c r="T169" i="3" l="1"/>
  <c r="M168" i="3"/>
  <c r="N168" i="3" s="1"/>
  <c r="J168" i="3"/>
  <c r="L168" i="3" s="1"/>
  <c r="W168" i="3"/>
  <c r="U168" i="3" l="1"/>
  <c r="E169" i="3" s="1"/>
  <c r="H169" i="3" s="1"/>
  <c r="AH169" i="3"/>
  <c r="AG169" i="3"/>
  <c r="Y167" i="3"/>
  <c r="D169" i="3" l="1"/>
  <c r="F169" i="3" s="1"/>
  <c r="K169" i="3"/>
  <c r="A170" i="3" s="1"/>
  <c r="B170" i="3" s="1"/>
  <c r="AA170" i="3" l="1"/>
  <c r="AC170" i="3"/>
  <c r="P170" i="3"/>
  <c r="Q170" i="3" s="1"/>
  <c r="R170" i="3" s="1"/>
  <c r="S170" i="3" s="1"/>
  <c r="AD170" i="3"/>
  <c r="Z170" i="3"/>
  <c r="G169" i="3"/>
  <c r="I169" i="3" s="1"/>
  <c r="V169" i="3"/>
  <c r="AE169" i="3"/>
  <c r="T170" i="3" l="1"/>
  <c r="M169" i="3"/>
  <c r="N169" i="3" s="1"/>
  <c r="J169" i="3"/>
  <c r="L169" i="3" s="1"/>
  <c r="W169" i="3"/>
  <c r="AH170" i="3" l="1"/>
  <c r="U169" i="3"/>
  <c r="E170" i="3" s="1"/>
  <c r="H170" i="3" s="1"/>
  <c r="AG170" i="3"/>
  <c r="Y168" i="3"/>
  <c r="D170" i="3" l="1"/>
  <c r="G170" i="3" s="1"/>
  <c r="K170" i="3"/>
  <c r="A171" i="3" s="1"/>
  <c r="B171" i="3" s="1"/>
  <c r="AD171" i="3" l="1"/>
  <c r="Z171" i="3"/>
  <c r="AA171" i="3"/>
  <c r="AC171" i="3"/>
  <c r="P171" i="3"/>
  <c r="Q171" i="3" s="1"/>
  <c r="R171" i="3" s="1"/>
  <c r="S171" i="3" s="1"/>
  <c r="F170" i="3"/>
  <c r="I170" i="3"/>
  <c r="J170" i="3"/>
  <c r="M170" i="3"/>
  <c r="N170" i="3" s="1"/>
  <c r="V170" i="3"/>
  <c r="AE170" i="3"/>
  <c r="T171" i="3" l="1"/>
  <c r="W170" i="3"/>
  <c r="L170" i="3"/>
  <c r="AG171" i="3" l="1"/>
  <c r="U170" i="3"/>
  <c r="E171" i="3" s="1"/>
  <c r="H171" i="3" s="1"/>
  <c r="AH171" i="3"/>
  <c r="Y169" i="3"/>
  <c r="K171" i="3" l="1"/>
  <c r="A172" i="3" s="1"/>
  <c r="B172" i="3" s="1"/>
  <c r="D171" i="3"/>
  <c r="P172" i="3" l="1"/>
  <c r="Q172" i="3" s="1"/>
  <c r="R172" i="3" s="1"/>
  <c r="S172" i="3" s="1"/>
  <c r="AC172" i="3"/>
  <c r="AD172" i="3"/>
  <c r="AA172" i="3"/>
  <c r="Z172" i="3"/>
  <c r="F171" i="3"/>
  <c r="G171" i="3"/>
  <c r="V171" i="3"/>
  <c r="AE171" i="3"/>
  <c r="T172" i="3" l="1"/>
  <c r="I171" i="3"/>
  <c r="W171" i="3" s="1"/>
  <c r="J171" i="3"/>
  <c r="M171" i="3"/>
  <c r="N171" i="3" s="1"/>
  <c r="L171" i="3" l="1"/>
  <c r="U171" i="3" l="1"/>
  <c r="E172" i="3" s="1"/>
  <c r="H172" i="3" s="1"/>
  <c r="AH172" i="3"/>
  <c r="AG172" i="3"/>
  <c r="Y170" i="3"/>
  <c r="K172" i="3" l="1"/>
  <c r="A173" i="3" s="1"/>
  <c r="B173" i="3" s="1"/>
  <c r="D172" i="3"/>
  <c r="P173" i="3" l="1"/>
  <c r="Q173" i="3" s="1"/>
  <c r="R173" i="3" s="1"/>
  <c r="S173" i="3" s="1"/>
  <c r="AD173" i="3"/>
  <c r="AC173" i="3"/>
  <c r="Z173" i="3"/>
  <c r="AA173" i="3"/>
  <c r="V172" i="3"/>
  <c r="AE172" i="3"/>
  <c r="F172" i="3"/>
  <c r="G172" i="3"/>
  <c r="T173" i="3" l="1"/>
  <c r="I172" i="3"/>
  <c r="W172" i="3" s="1"/>
  <c r="J172" i="3"/>
  <c r="M172" i="3"/>
  <c r="N172" i="3" s="1"/>
  <c r="L172" i="3" l="1"/>
  <c r="U172" i="3" l="1"/>
  <c r="E173" i="3" s="1"/>
  <c r="H173" i="3" s="1"/>
  <c r="AH173" i="3"/>
  <c r="AG173" i="3"/>
  <c r="Y171" i="3"/>
  <c r="D173" i="3" l="1"/>
  <c r="G173" i="3" s="1"/>
  <c r="K173" i="3"/>
  <c r="A174" i="3" s="1"/>
  <c r="B174" i="3" s="1"/>
  <c r="AD174" i="3" l="1"/>
  <c r="P174" i="3"/>
  <c r="Q174" i="3" s="1"/>
  <c r="R174" i="3" s="1"/>
  <c r="S174" i="3" s="1"/>
  <c r="AA174" i="3"/>
  <c r="AC174" i="3"/>
  <c r="Z174" i="3"/>
  <c r="F173" i="3"/>
  <c r="I173" i="3"/>
  <c r="J173" i="3"/>
  <c r="M173" i="3"/>
  <c r="N173" i="3" s="1"/>
  <c r="V173" i="3"/>
  <c r="AE173" i="3"/>
  <c r="T174" i="3" l="1"/>
  <c r="L173" i="3"/>
  <c r="W173" i="3"/>
  <c r="U173" i="3" l="1"/>
  <c r="E174" i="3" s="1"/>
  <c r="H174" i="3" s="1"/>
  <c r="AG174" i="3"/>
  <c r="AH174" i="3"/>
  <c r="Y172" i="3"/>
  <c r="D174" i="3" l="1"/>
  <c r="G174" i="3" s="1"/>
  <c r="K174" i="3"/>
  <c r="A175" i="3" s="1"/>
  <c r="B175" i="3" s="1"/>
  <c r="AC175" i="3" l="1"/>
  <c r="AA175" i="3"/>
  <c r="Z175" i="3"/>
  <c r="P175" i="3"/>
  <c r="Q175" i="3" s="1"/>
  <c r="R175" i="3" s="1"/>
  <c r="S175" i="3" s="1"/>
  <c r="AD175" i="3"/>
  <c r="F174" i="3"/>
  <c r="V174" i="3"/>
  <c r="AE174" i="3"/>
  <c r="I174" i="3"/>
  <c r="J174" i="3"/>
  <c r="M174" i="3"/>
  <c r="N174" i="3" s="1"/>
  <c r="T175" i="3" l="1"/>
  <c r="W174" i="3"/>
  <c r="L174" i="3"/>
  <c r="U174" i="3" l="1"/>
  <c r="D175" i="3" s="1"/>
  <c r="AG175" i="3"/>
  <c r="AH175" i="3"/>
  <c r="Y173" i="3"/>
  <c r="E175" i="3" l="1"/>
  <c r="H175" i="3" s="1"/>
  <c r="K175" i="3" s="1"/>
  <c r="A176" i="3" s="1"/>
  <c r="B176" i="3" s="1"/>
  <c r="G175" i="3"/>
  <c r="P176" i="3" l="1"/>
  <c r="Q176" i="3" s="1"/>
  <c r="R176" i="3" s="1"/>
  <c r="S176" i="3" s="1"/>
  <c r="Z176" i="3"/>
  <c r="AA176" i="3"/>
  <c r="AC176" i="3"/>
  <c r="AD176" i="3"/>
  <c r="F175" i="3"/>
  <c r="I175" i="3"/>
  <c r="J175" i="3"/>
  <c r="M175" i="3"/>
  <c r="N175" i="3" s="1"/>
  <c r="V175" i="3"/>
  <c r="AE175" i="3"/>
  <c r="T176" i="3" l="1"/>
  <c r="W175" i="3"/>
  <c r="L175" i="3"/>
  <c r="U175" i="3" l="1"/>
  <c r="E176" i="3" s="1"/>
  <c r="H176" i="3" s="1"/>
  <c r="AG176" i="3"/>
  <c r="AH176" i="3"/>
  <c r="Y174" i="3"/>
  <c r="D176" i="3" l="1"/>
  <c r="G176" i="3" s="1"/>
  <c r="K176" i="3"/>
  <c r="A177" i="3" s="1"/>
  <c r="B177" i="3" s="1"/>
  <c r="Z177" i="3" l="1"/>
  <c r="AC177" i="3"/>
  <c r="AD177" i="3"/>
  <c r="P177" i="3"/>
  <c r="Q177" i="3" s="1"/>
  <c r="R177" i="3" s="1"/>
  <c r="S177" i="3" s="1"/>
  <c r="AA177" i="3"/>
  <c r="F176" i="3"/>
  <c r="I176" i="3"/>
  <c r="J176" i="3"/>
  <c r="M176" i="3"/>
  <c r="N176" i="3" s="1"/>
  <c r="V176" i="3"/>
  <c r="AE176" i="3"/>
  <c r="T177" i="3" l="1"/>
  <c r="W176" i="3"/>
  <c r="L176" i="3"/>
  <c r="AH177" i="3" l="1"/>
  <c r="U176" i="3"/>
  <c r="D177" i="3" s="1"/>
  <c r="AG177" i="3"/>
  <c r="Y175" i="3"/>
  <c r="G177" i="3" l="1"/>
  <c r="E177" i="3"/>
  <c r="H177" i="3" s="1"/>
  <c r="F177" i="3" l="1"/>
  <c r="I177" i="3"/>
  <c r="J177" i="3"/>
  <c r="M177" i="3"/>
  <c r="N177" i="3" s="1"/>
  <c r="K177" i="3"/>
  <c r="A178" i="3" s="1"/>
  <c r="B178" i="3" s="1"/>
  <c r="AA178" i="3" l="1"/>
  <c r="Z178" i="3"/>
  <c r="AC178" i="3"/>
  <c r="P178" i="3"/>
  <c r="Q178" i="3" s="1"/>
  <c r="R178" i="3" s="1"/>
  <c r="S178" i="3" s="1"/>
  <c r="AD178" i="3"/>
  <c r="V177" i="3"/>
  <c r="W177" i="3" s="1"/>
  <c r="AE177" i="3"/>
  <c r="L177" i="3"/>
  <c r="T178" i="3" l="1"/>
  <c r="AH178" i="3" s="1"/>
  <c r="U177" i="3"/>
  <c r="Y176" i="3"/>
  <c r="E178" i="3" l="1"/>
  <c r="H178" i="3" s="1"/>
  <c r="K178" i="3" s="1"/>
  <c r="A179" i="3" s="1"/>
  <c r="B179" i="3" s="1"/>
  <c r="AG178" i="3"/>
  <c r="D178" i="3"/>
  <c r="G178" i="3" s="1"/>
  <c r="Z179" i="3" l="1"/>
  <c r="AD179" i="3"/>
  <c r="AC179" i="3"/>
  <c r="AA179" i="3"/>
  <c r="P179" i="3"/>
  <c r="Q179" i="3" s="1"/>
  <c r="R179" i="3" s="1"/>
  <c r="S179" i="3" s="1"/>
  <c r="F178" i="3"/>
  <c r="I178" i="3"/>
  <c r="J178" i="3"/>
  <c r="M178" i="3"/>
  <c r="N178" i="3" s="1"/>
  <c r="V178" i="3"/>
  <c r="AE178" i="3"/>
  <c r="T179" i="3" l="1"/>
  <c r="W178" i="3"/>
  <c r="L178" i="3"/>
  <c r="U178" i="3" l="1"/>
  <c r="E179" i="3" s="1"/>
  <c r="H179" i="3" s="1"/>
  <c r="AG179" i="3"/>
  <c r="AH179" i="3"/>
  <c r="Y177" i="3"/>
  <c r="D179" i="3" l="1"/>
  <c r="G179" i="3" s="1"/>
  <c r="K179" i="3"/>
  <c r="A180" i="3" s="1"/>
  <c r="B180" i="3" s="1"/>
  <c r="AC180" i="3" l="1"/>
  <c r="AA180" i="3"/>
  <c r="AD180" i="3"/>
  <c r="P180" i="3"/>
  <c r="Q180" i="3" s="1"/>
  <c r="R180" i="3" s="1"/>
  <c r="S180" i="3" s="1"/>
  <c r="Z180" i="3"/>
  <c r="F179" i="3"/>
  <c r="V179" i="3"/>
  <c r="AE179" i="3"/>
  <c r="I179" i="3"/>
  <c r="J179" i="3"/>
  <c r="M179" i="3"/>
  <c r="N179" i="3" s="1"/>
  <c r="T180" i="3" l="1"/>
  <c r="W179" i="3"/>
  <c r="L179" i="3"/>
  <c r="AG180" i="3" l="1"/>
  <c r="U179" i="3"/>
  <c r="D180" i="3" s="1"/>
  <c r="AH180" i="3"/>
  <c r="Y178" i="3"/>
  <c r="E180" i="3" l="1"/>
  <c r="H180" i="3" s="1"/>
  <c r="K180" i="3" s="1"/>
  <c r="A181" i="3" s="1"/>
  <c r="B181" i="3" s="1"/>
  <c r="G180" i="3"/>
  <c r="AA181" i="3" l="1"/>
  <c r="AC181" i="3"/>
  <c r="P181" i="3"/>
  <c r="Q181" i="3" s="1"/>
  <c r="R181" i="3" s="1"/>
  <c r="S181" i="3" s="1"/>
  <c r="AD181" i="3"/>
  <c r="Z181" i="3"/>
  <c r="F180" i="3"/>
  <c r="I180" i="3"/>
  <c r="J180" i="3"/>
  <c r="M180" i="3"/>
  <c r="N180" i="3" s="1"/>
  <c r="V180" i="3"/>
  <c r="AE180" i="3"/>
  <c r="T181" i="3" l="1"/>
  <c r="L180" i="3"/>
  <c r="W180" i="3"/>
  <c r="U180" i="3" l="1"/>
  <c r="E181" i="3" s="1"/>
  <c r="H181" i="3" s="1"/>
  <c r="AH181" i="3"/>
  <c r="AG181" i="3"/>
  <c r="Y179" i="3"/>
  <c r="D181" i="3" l="1"/>
  <c r="G181" i="3" s="1"/>
  <c r="K181" i="3"/>
  <c r="A182" i="3" s="1"/>
  <c r="B182" i="3" s="1"/>
  <c r="AA182" i="3" l="1"/>
  <c r="P182" i="3"/>
  <c r="Q182" i="3" s="1"/>
  <c r="R182" i="3" s="1"/>
  <c r="S182" i="3" s="1"/>
  <c r="Z182" i="3"/>
  <c r="AC182" i="3"/>
  <c r="AD182" i="3"/>
  <c r="F181" i="3"/>
  <c r="I181" i="3"/>
  <c r="J181" i="3"/>
  <c r="M181" i="3"/>
  <c r="N181" i="3" s="1"/>
  <c r="V181" i="3"/>
  <c r="AE181" i="3"/>
  <c r="T182" i="3" l="1"/>
  <c r="W181" i="3"/>
  <c r="L181" i="3"/>
  <c r="AH182" i="3" l="1"/>
  <c r="U181" i="3"/>
  <c r="E182" i="3" s="1"/>
  <c r="H182" i="3" s="1"/>
  <c r="AG182" i="3"/>
  <c r="Y180" i="3"/>
  <c r="K182" i="3" l="1"/>
  <c r="A183" i="3" s="1"/>
  <c r="B183" i="3" s="1"/>
  <c r="D182" i="3"/>
  <c r="AA183" i="3" l="1"/>
  <c r="AD183" i="3"/>
  <c r="P183" i="3"/>
  <c r="Q183" i="3" s="1"/>
  <c r="R183" i="3" s="1"/>
  <c r="S183" i="3" s="1"/>
  <c r="AC183" i="3"/>
  <c r="Z183" i="3"/>
  <c r="V182" i="3"/>
  <c r="AE182" i="3"/>
  <c r="F182" i="3"/>
  <c r="G182" i="3"/>
  <c r="T183" i="3" l="1"/>
  <c r="I182" i="3"/>
  <c r="W182" i="3" s="1"/>
  <c r="J182" i="3"/>
  <c r="M182" i="3"/>
  <c r="N182" i="3" s="1"/>
  <c r="L182" i="3" l="1"/>
  <c r="U182" i="3" l="1"/>
  <c r="E183" i="3" s="1"/>
  <c r="H183" i="3" s="1"/>
  <c r="AH183" i="3"/>
  <c r="AG183" i="3"/>
  <c r="Y181" i="3"/>
  <c r="D183" i="3" l="1"/>
  <c r="G183" i="3" s="1"/>
  <c r="K183" i="3"/>
  <c r="A184" i="3" s="1"/>
  <c r="B184" i="3" s="1"/>
  <c r="AD184" i="3" l="1"/>
  <c r="Z184" i="3"/>
  <c r="P184" i="3"/>
  <c r="Q184" i="3" s="1"/>
  <c r="R184" i="3" s="1"/>
  <c r="S184" i="3" s="1"/>
  <c r="AC184" i="3"/>
  <c r="AA184" i="3"/>
  <c r="F183" i="3"/>
  <c r="I183" i="3"/>
  <c r="J183" i="3"/>
  <c r="M183" i="3"/>
  <c r="N183" i="3" s="1"/>
  <c r="V183" i="3"/>
  <c r="AE183" i="3"/>
  <c r="T184" i="3" l="1"/>
  <c r="W183" i="3"/>
  <c r="L183" i="3"/>
  <c r="U183" i="3" l="1"/>
  <c r="D184" i="3" s="1"/>
  <c r="AG184" i="3"/>
  <c r="AH184" i="3"/>
  <c r="Y182" i="3"/>
  <c r="G184" i="3" l="1"/>
  <c r="E184" i="3"/>
  <c r="H184" i="3" s="1"/>
  <c r="K184" i="3" l="1"/>
  <c r="A185" i="3" s="1"/>
  <c r="B185" i="3" s="1"/>
  <c r="I184" i="3"/>
  <c r="J184" i="3"/>
  <c r="M184" i="3"/>
  <c r="N184" i="3" s="1"/>
  <c r="F184" i="3"/>
  <c r="AD185" i="3" l="1"/>
  <c r="AC185" i="3"/>
  <c r="AA185" i="3"/>
  <c r="P185" i="3"/>
  <c r="Q185" i="3" s="1"/>
  <c r="R185" i="3" s="1"/>
  <c r="S185" i="3" s="1"/>
  <c r="Z185" i="3"/>
  <c r="V184" i="3"/>
  <c r="W184" i="3" s="1"/>
  <c r="AE184" i="3"/>
  <c r="L184" i="3"/>
  <c r="T185" i="3" l="1"/>
  <c r="AH185" i="3" s="1"/>
  <c r="U184" i="3"/>
  <c r="Y183" i="3"/>
  <c r="D185" i="3" l="1"/>
  <c r="G185" i="3" s="1"/>
  <c r="AG185" i="3"/>
  <c r="E185" i="3"/>
  <c r="H185" i="3" s="1"/>
  <c r="K185" i="3" s="1"/>
  <c r="A186" i="3" s="1"/>
  <c r="B186" i="3" s="1"/>
  <c r="Z186" i="3" l="1"/>
  <c r="P186" i="3"/>
  <c r="Q186" i="3" s="1"/>
  <c r="R186" i="3" s="1"/>
  <c r="S186" i="3" s="1"/>
  <c r="AA186" i="3"/>
  <c r="AC186" i="3"/>
  <c r="AD186" i="3"/>
  <c r="F185" i="3"/>
  <c r="I185" i="3"/>
  <c r="J185" i="3"/>
  <c r="M185" i="3"/>
  <c r="N185" i="3" s="1"/>
  <c r="V185" i="3"/>
  <c r="AE185" i="3"/>
  <c r="T186" i="3" l="1"/>
  <c r="W185" i="3"/>
  <c r="L185" i="3"/>
  <c r="U185" i="3" l="1"/>
  <c r="E186" i="3" s="1"/>
  <c r="H186" i="3" s="1"/>
  <c r="AH186" i="3"/>
  <c r="AG186" i="3"/>
  <c r="Y184" i="3"/>
  <c r="D186" i="3" l="1"/>
  <c r="G186" i="3" s="1"/>
  <c r="K186" i="3"/>
  <c r="A187" i="3" s="1"/>
  <c r="B187" i="3" s="1"/>
  <c r="AD187" i="3" l="1"/>
  <c r="AA187" i="3"/>
  <c r="AC187" i="3"/>
  <c r="P187" i="3"/>
  <c r="Q187" i="3" s="1"/>
  <c r="R187" i="3" s="1"/>
  <c r="S187" i="3" s="1"/>
  <c r="Z187" i="3"/>
  <c r="F186" i="3"/>
  <c r="V186" i="3"/>
  <c r="AE186" i="3"/>
  <c r="I186" i="3"/>
  <c r="J186" i="3"/>
  <c r="M186" i="3"/>
  <c r="N186" i="3" s="1"/>
  <c r="T187" i="3" l="1"/>
  <c r="L186" i="3"/>
  <c r="W186" i="3"/>
  <c r="AG187" i="3" l="1"/>
  <c r="AH187" i="3"/>
  <c r="U186" i="3"/>
  <c r="D187" i="3" s="1"/>
  <c r="Y185" i="3"/>
  <c r="G187" i="3" l="1"/>
  <c r="E187" i="3"/>
  <c r="H187" i="3" s="1"/>
  <c r="I187" i="3" l="1"/>
  <c r="J187" i="3"/>
  <c r="M187" i="3"/>
  <c r="N187" i="3" s="1"/>
  <c r="F187" i="3"/>
  <c r="K187" i="3"/>
  <c r="A188" i="3" s="1"/>
  <c r="B188" i="3" s="1"/>
  <c r="Z188" i="3" l="1"/>
  <c r="P188" i="3"/>
  <c r="Q188" i="3" s="1"/>
  <c r="R188" i="3" s="1"/>
  <c r="S188" i="3" s="1"/>
  <c r="AC188" i="3"/>
  <c r="AA188" i="3"/>
  <c r="AD188" i="3"/>
  <c r="L187" i="3"/>
  <c r="V187" i="3"/>
  <c r="W187" i="3" s="1"/>
  <c r="AE187" i="3"/>
  <c r="T188" i="3" l="1"/>
  <c r="AG188" i="3" s="1"/>
  <c r="U187" i="3"/>
  <c r="Y186" i="3"/>
  <c r="AH188" i="3" l="1"/>
  <c r="E188" i="3"/>
  <c r="H188" i="3" s="1"/>
  <c r="K188" i="3" s="1"/>
  <c r="A189" i="3" s="1"/>
  <c r="B189" i="3" s="1"/>
  <c r="D188" i="3"/>
  <c r="G188" i="3" s="1"/>
  <c r="Z189" i="3" l="1"/>
  <c r="AC189" i="3"/>
  <c r="AD189" i="3"/>
  <c r="P189" i="3"/>
  <c r="Q189" i="3" s="1"/>
  <c r="R189" i="3" s="1"/>
  <c r="S189" i="3" s="1"/>
  <c r="AA189" i="3"/>
  <c r="F188" i="3"/>
  <c r="I188" i="3"/>
  <c r="J188" i="3"/>
  <c r="M188" i="3"/>
  <c r="N188" i="3" s="1"/>
  <c r="V188" i="3"/>
  <c r="AE188" i="3"/>
  <c r="T189" i="3" l="1"/>
  <c r="W188" i="3"/>
  <c r="L188" i="3"/>
  <c r="U188" i="3" l="1"/>
  <c r="E189" i="3" s="1"/>
  <c r="H189" i="3" s="1"/>
  <c r="AH189" i="3"/>
  <c r="AG189" i="3"/>
  <c r="Y187" i="3"/>
  <c r="D189" i="3" l="1"/>
  <c r="G189" i="3" s="1"/>
  <c r="K189" i="3"/>
  <c r="A190" i="3" s="1"/>
  <c r="B190" i="3" s="1"/>
  <c r="AC190" i="3" l="1"/>
  <c r="Z190" i="3"/>
  <c r="AD190" i="3"/>
  <c r="AA190" i="3"/>
  <c r="P190" i="3"/>
  <c r="Q190" i="3" s="1"/>
  <c r="R190" i="3" s="1"/>
  <c r="S190" i="3" s="1"/>
  <c r="F189" i="3"/>
  <c r="I189" i="3"/>
  <c r="J189" i="3"/>
  <c r="M189" i="3"/>
  <c r="N189" i="3" s="1"/>
  <c r="V189" i="3"/>
  <c r="AE189" i="3"/>
  <c r="T190" i="3" l="1"/>
  <c r="W189" i="3"/>
  <c r="L189" i="3"/>
  <c r="AH190" i="3" l="1"/>
  <c r="U189" i="3"/>
  <c r="D190" i="3" s="1"/>
  <c r="AG190" i="3"/>
  <c r="Y188" i="3"/>
  <c r="G190" i="3" l="1"/>
  <c r="E190" i="3"/>
  <c r="H190" i="3" s="1"/>
  <c r="K190" i="3" l="1"/>
  <c r="A191" i="3" s="1"/>
  <c r="B191" i="3" s="1"/>
  <c r="I190" i="3"/>
  <c r="J190" i="3"/>
  <c r="M190" i="3"/>
  <c r="N190" i="3" s="1"/>
  <c r="F190" i="3"/>
  <c r="P191" i="3" l="1"/>
  <c r="Q191" i="3" s="1"/>
  <c r="R191" i="3" s="1"/>
  <c r="S191" i="3" s="1"/>
  <c r="AA191" i="3"/>
  <c r="AC191" i="3"/>
  <c r="AD191" i="3"/>
  <c r="Z191" i="3"/>
  <c r="L190" i="3"/>
  <c r="V190" i="3"/>
  <c r="W190" i="3" s="1"/>
  <c r="AE190" i="3"/>
  <c r="T191" i="3" l="1"/>
  <c r="AG191" i="3" s="1"/>
  <c r="U190" i="3"/>
  <c r="Y189" i="3"/>
  <c r="AH191" i="3" l="1"/>
  <c r="E191" i="3"/>
  <c r="H191" i="3" s="1"/>
  <c r="K191" i="3" s="1"/>
  <c r="A192" i="3" s="1"/>
  <c r="B192" i="3" s="1"/>
  <c r="D191" i="3"/>
  <c r="P192" i="3" l="1"/>
  <c r="Q192" i="3" s="1"/>
  <c r="R192" i="3" s="1"/>
  <c r="S192" i="3" s="1"/>
  <c r="Z192" i="3"/>
  <c r="AD192" i="3"/>
  <c r="AA192" i="3"/>
  <c r="AC192" i="3"/>
  <c r="V191" i="3"/>
  <c r="AE191" i="3"/>
  <c r="F191" i="3"/>
  <c r="G191" i="3"/>
  <c r="T192" i="3" l="1"/>
  <c r="I191" i="3"/>
  <c r="W191" i="3" s="1"/>
  <c r="J191" i="3"/>
  <c r="M191" i="3"/>
  <c r="N191" i="3" s="1"/>
  <c r="L191" i="3" l="1"/>
  <c r="AG192" i="3" l="1"/>
  <c r="U191" i="3"/>
  <c r="E192" i="3" s="1"/>
  <c r="H192" i="3" s="1"/>
  <c r="AH192" i="3"/>
  <c r="Y190" i="3"/>
  <c r="D192" i="3" l="1"/>
  <c r="G192" i="3" s="1"/>
  <c r="K192" i="3"/>
  <c r="A193" i="3" s="1"/>
  <c r="B193" i="3" s="1"/>
  <c r="AC193" i="3" l="1"/>
  <c r="AA193" i="3"/>
  <c r="AD193" i="3"/>
  <c r="P193" i="3"/>
  <c r="Q193" i="3" s="1"/>
  <c r="R193" i="3" s="1"/>
  <c r="S193" i="3" s="1"/>
  <c r="Z193" i="3"/>
  <c r="F192" i="3"/>
  <c r="I192" i="3"/>
  <c r="J192" i="3"/>
  <c r="M192" i="3"/>
  <c r="N192" i="3" s="1"/>
  <c r="V192" i="3"/>
  <c r="AE192" i="3"/>
  <c r="T193" i="3" l="1"/>
  <c r="W192" i="3"/>
  <c r="L192" i="3"/>
  <c r="U192" i="3" l="1"/>
  <c r="D193" i="3" s="1"/>
  <c r="AG193" i="3"/>
  <c r="AH193" i="3"/>
  <c r="Y191" i="3"/>
  <c r="G193" i="3" l="1"/>
  <c r="E193" i="3"/>
  <c r="H193" i="3" s="1"/>
  <c r="K193" i="3" l="1"/>
  <c r="A194" i="3" s="1"/>
  <c r="B194" i="3" s="1"/>
  <c r="I193" i="3"/>
  <c r="J193" i="3"/>
  <c r="M193" i="3"/>
  <c r="N193" i="3" s="1"/>
  <c r="F193" i="3"/>
  <c r="AD194" i="3" l="1"/>
  <c r="P194" i="3"/>
  <c r="Q194" i="3" s="1"/>
  <c r="R194" i="3" s="1"/>
  <c r="S194" i="3" s="1"/>
  <c r="AA194" i="3"/>
  <c r="AC194" i="3"/>
  <c r="Z194" i="3"/>
  <c r="L193" i="3"/>
  <c r="V193" i="3"/>
  <c r="W193" i="3" s="1"/>
  <c r="AE193" i="3"/>
  <c r="T194" i="3" l="1"/>
  <c r="AH194" i="3" s="1"/>
  <c r="U193" i="3"/>
  <c r="Y192" i="3"/>
  <c r="AG194" i="3" l="1"/>
  <c r="D194" i="3"/>
  <c r="G194" i="3" s="1"/>
  <c r="E194" i="3"/>
  <c r="H194" i="3" s="1"/>
  <c r="K194" i="3" s="1"/>
  <c r="A195" i="3" s="1"/>
  <c r="B195" i="3" s="1"/>
  <c r="P195" i="3" l="1"/>
  <c r="Q195" i="3" s="1"/>
  <c r="R195" i="3" s="1"/>
  <c r="S195" i="3" s="1"/>
  <c r="AD195" i="3"/>
  <c r="Z195" i="3"/>
  <c r="AA195" i="3"/>
  <c r="AC195" i="3"/>
  <c r="F194" i="3"/>
  <c r="V194" i="3"/>
  <c r="AE194" i="3"/>
  <c r="I194" i="3"/>
  <c r="J194" i="3"/>
  <c r="M194" i="3"/>
  <c r="N194" i="3" s="1"/>
  <c r="T195" i="3" l="1"/>
  <c r="W194" i="3"/>
  <c r="L194" i="3"/>
  <c r="U194" i="3" l="1"/>
  <c r="D195" i="3" s="1"/>
  <c r="AH195" i="3"/>
  <c r="AG195" i="3"/>
  <c r="Y193" i="3"/>
  <c r="E195" i="3" l="1"/>
  <c r="H195" i="3" s="1"/>
  <c r="K195" i="3" s="1"/>
  <c r="A196" i="3" s="1"/>
  <c r="B196" i="3" s="1"/>
  <c r="G195" i="3"/>
  <c r="P196" i="3" l="1"/>
  <c r="Q196" i="3" s="1"/>
  <c r="R196" i="3" s="1"/>
  <c r="S196" i="3" s="1"/>
  <c r="Z196" i="3"/>
  <c r="AC196" i="3"/>
  <c r="AD196" i="3"/>
  <c r="AA196" i="3"/>
  <c r="F195" i="3"/>
  <c r="V195" i="3"/>
  <c r="AE195" i="3"/>
  <c r="I195" i="3"/>
  <c r="J195" i="3"/>
  <c r="M195" i="3"/>
  <c r="N195" i="3" s="1"/>
  <c r="T196" i="3" l="1"/>
  <c r="W195" i="3"/>
  <c r="L195" i="3"/>
  <c r="AH196" i="3" l="1"/>
  <c r="U195" i="3"/>
  <c r="D196" i="3" s="1"/>
  <c r="AG196" i="3"/>
  <c r="Y194" i="3"/>
  <c r="E196" i="3" l="1"/>
  <c r="H196" i="3" s="1"/>
  <c r="K196" i="3" s="1"/>
  <c r="A197" i="3" s="1"/>
  <c r="B197" i="3" s="1"/>
  <c r="G196" i="3"/>
  <c r="AD197" i="3" l="1"/>
  <c r="AA197" i="3"/>
  <c r="Z197" i="3"/>
  <c r="AC197" i="3"/>
  <c r="P197" i="3"/>
  <c r="Q197" i="3" s="1"/>
  <c r="R197" i="3" s="1"/>
  <c r="S197" i="3" s="1"/>
  <c r="F196" i="3"/>
  <c r="I196" i="3"/>
  <c r="J196" i="3"/>
  <c r="M196" i="3"/>
  <c r="N196" i="3" s="1"/>
  <c r="V196" i="3"/>
  <c r="AE196" i="3"/>
  <c r="T197" i="3" l="1"/>
  <c r="L196" i="3"/>
  <c r="W196" i="3"/>
  <c r="U196" i="3" l="1"/>
  <c r="E197" i="3" s="1"/>
  <c r="H197" i="3" s="1"/>
  <c r="AG197" i="3"/>
  <c r="AH197" i="3"/>
  <c r="Y195" i="3"/>
  <c r="D197" i="3" l="1"/>
  <c r="G197" i="3" s="1"/>
  <c r="K197" i="3"/>
  <c r="A198" i="3" s="1"/>
  <c r="B198" i="3" s="1"/>
  <c r="P198" i="3" l="1"/>
  <c r="Q198" i="3" s="1"/>
  <c r="R198" i="3" s="1"/>
  <c r="S198" i="3" s="1"/>
  <c r="AA198" i="3"/>
  <c r="Z198" i="3"/>
  <c r="AC198" i="3"/>
  <c r="AD198" i="3"/>
  <c r="F197" i="3"/>
  <c r="I197" i="3"/>
  <c r="J197" i="3"/>
  <c r="M197" i="3"/>
  <c r="N197" i="3" s="1"/>
  <c r="V197" i="3"/>
  <c r="AE197" i="3"/>
  <c r="T198" i="3" l="1"/>
  <c r="W197" i="3"/>
  <c r="L197" i="3"/>
  <c r="AG198" i="3" l="1"/>
  <c r="AH198" i="3"/>
  <c r="U197" i="3"/>
  <c r="E198" i="3" s="1"/>
  <c r="H198" i="3" s="1"/>
  <c r="Y196" i="3"/>
  <c r="K198" i="3" l="1"/>
  <c r="A199" i="3" s="1"/>
  <c r="B199" i="3" s="1"/>
  <c r="D198" i="3"/>
  <c r="AD199" i="3" l="1"/>
  <c r="P199" i="3"/>
  <c r="Q199" i="3" s="1"/>
  <c r="R199" i="3" s="1"/>
  <c r="S199" i="3" s="1"/>
  <c r="AC199" i="3"/>
  <c r="AA199" i="3"/>
  <c r="Z199" i="3"/>
  <c r="V198" i="3"/>
  <c r="AE198" i="3"/>
  <c r="F198" i="3"/>
  <c r="G198" i="3"/>
  <c r="T199" i="3" l="1"/>
  <c r="I198" i="3"/>
  <c r="W198" i="3" s="1"/>
  <c r="J198" i="3"/>
  <c r="M198" i="3"/>
  <c r="N198" i="3" s="1"/>
  <c r="L198" i="3" l="1"/>
  <c r="AG199" i="3" l="1"/>
  <c r="U198" i="3"/>
  <c r="E199" i="3" s="1"/>
  <c r="H199" i="3" s="1"/>
  <c r="AH199" i="3"/>
  <c r="Y197" i="3"/>
  <c r="K199" i="3" l="1"/>
  <c r="A200" i="3" s="1"/>
  <c r="B200" i="3" s="1"/>
  <c r="D199" i="3"/>
  <c r="AA200" i="3" l="1"/>
  <c r="AC200" i="3"/>
  <c r="Z200" i="3"/>
  <c r="P200" i="3"/>
  <c r="Q200" i="3" s="1"/>
  <c r="R200" i="3" s="1"/>
  <c r="S200" i="3" s="1"/>
  <c r="AD200" i="3"/>
  <c r="V199" i="3"/>
  <c r="AE199" i="3"/>
  <c r="F199" i="3"/>
  <c r="G199" i="3"/>
  <c r="T200" i="3" l="1"/>
  <c r="I199" i="3"/>
  <c r="W199" i="3" s="1"/>
  <c r="J199" i="3"/>
  <c r="M199" i="3"/>
  <c r="N199" i="3" s="1"/>
  <c r="L199" i="3" l="1"/>
  <c r="AH200" i="3" l="1"/>
  <c r="AG200" i="3"/>
  <c r="U199" i="3"/>
  <c r="E200" i="3" s="1"/>
  <c r="H200" i="3" s="1"/>
  <c r="Y198" i="3"/>
  <c r="K200" i="3" l="1"/>
  <c r="A201" i="3" s="1"/>
  <c r="B201" i="3" s="1"/>
  <c r="D200" i="3"/>
  <c r="AC201" i="3" l="1"/>
  <c r="AD201" i="3"/>
  <c r="P201" i="3"/>
  <c r="Q201" i="3" s="1"/>
  <c r="R201" i="3" s="1"/>
  <c r="S201" i="3" s="1"/>
  <c r="AA201" i="3"/>
  <c r="Z201" i="3"/>
  <c r="V200" i="3"/>
  <c r="AE200" i="3"/>
  <c r="F200" i="3"/>
  <c r="G200" i="3"/>
  <c r="T201" i="3" l="1"/>
  <c r="I200" i="3"/>
  <c r="W200" i="3" s="1"/>
  <c r="J200" i="3"/>
  <c r="M200" i="3"/>
  <c r="N200" i="3" s="1"/>
  <c r="L200" i="3" l="1"/>
  <c r="AG201" i="3" l="1"/>
  <c r="U200" i="3"/>
  <c r="E201" i="3" s="1"/>
  <c r="H201" i="3" s="1"/>
  <c r="AH201" i="3"/>
  <c r="Y199" i="3"/>
  <c r="D201" i="3" l="1"/>
  <c r="G201" i="3" s="1"/>
  <c r="K201" i="3"/>
  <c r="A202" i="3" s="1"/>
  <c r="B202" i="3" s="1"/>
  <c r="AA202" i="3" l="1"/>
  <c r="AC202" i="3"/>
  <c r="AD202" i="3"/>
  <c r="Z202" i="3"/>
  <c r="P202" i="3"/>
  <c r="Q202" i="3" s="1"/>
  <c r="R202" i="3" s="1"/>
  <c r="S202" i="3" s="1"/>
  <c r="F201" i="3"/>
  <c r="I201" i="3"/>
  <c r="J201" i="3"/>
  <c r="M201" i="3"/>
  <c r="N201" i="3" s="1"/>
  <c r="V201" i="3"/>
  <c r="AE201" i="3"/>
  <c r="T202" i="3" l="1"/>
  <c r="W201" i="3"/>
  <c r="L201" i="3"/>
  <c r="U201" i="3" l="1"/>
  <c r="E202" i="3" s="1"/>
  <c r="H202" i="3" s="1"/>
  <c r="AG202" i="3"/>
  <c r="AH202" i="3"/>
  <c r="Y200" i="3"/>
  <c r="D202" i="3" l="1"/>
  <c r="G202" i="3" s="1"/>
  <c r="K202" i="3"/>
  <c r="A203" i="3" s="1"/>
  <c r="B203" i="3" s="1"/>
  <c r="Z203" i="3" l="1"/>
  <c r="P203" i="3"/>
  <c r="Q203" i="3" s="1"/>
  <c r="R203" i="3" s="1"/>
  <c r="S203" i="3" s="1"/>
  <c r="AD203" i="3"/>
  <c r="AC203" i="3"/>
  <c r="AA203" i="3"/>
  <c r="F202" i="3"/>
  <c r="V202" i="3"/>
  <c r="AE202" i="3"/>
  <c r="I202" i="3"/>
  <c r="J202" i="3"/>
  <c r="M202" i="3"/>
  <c r="N202" i="3" s="1"/>
  <c r="T203" i="3" l="1"/>
  <c r="W202" i="3"/>
  <c r="L202" i="3"/>
  <c r="U202" i="3" l="1"/>
  <c r="E203" i="3" s="1"/>
  <c r="H203" i="3" s="1"/>
  <c r="AH203" i="3"/>
  <c r="AG203" i="3"/>
  <c r="Y201" i="3"/>
  <c r="D203" i="3" l="1"/>
  <c r="G203" i="3" s="1"/>
  <c r="K203" i="3"/>
  <c r="A204" i="3" s="1"/>
  <c r="B204" i="3" s="1"/>
  <c r="Z204" i="3" l="1"/>
  <c r="AC204" i="3"/>
  <c r="AA204" i="3"/>
  <c r="P204" i="3"/>
  <c r="Q204" i="3" s="1"/>
  <c r="R204" i="3" s="1"/>
  <c r="S204" i="3" s="1"/>
  <c r="T204" i="3" s="1"/>
  <c r="F203" i="3"/>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P207" i="3"/>
  <c r="Q207" i="3" s="1"/>
  <c r="R207" i="3" s="1"/>
  <c r="S207" i="3" s="1"/>
  <c r="AC207" i="3"/>
  <c r="Z207" i="3"/>
  <c r="AA207" i="3"/>
  <c r="T207" i="3" l="1"/>
  <c r="U206" i="3"/>
  <c r="Y205" i="3"/>
  <c r="D207" i="3" l="1"/>
  <c r="G207" i="3" s="1"/>
  <c r="AH207" i="3"/>
  <c r="E207" i="3"/>
  <c r="H207" i="3" s="1"/>
  <c r="AG207" i="3"/>
  <c r="F207" i="3" l="1"/>
  <c r="I207" i="3"/>
  <c r="J207" i="3"/>
  <c r="AD207" i="3" s="1"/>
  <c r="M207" i="3"/>
  <c r="N207" i="3" s="1"/>
  <c r="K207" i="3"/>
  <c r="V207" i="3" l="1"/>
  <c r="W207" i="3" s="1"/>
  <c r="AE207" i="3"/>
  <c r="A208" i="3"/>
  <c r="B208" i="3" s="1"/>
  <c r="L207" i="3"/>
  <c r="Z208" i="3" l="1"/>
  <c r="AC208" i="3"/>
  <c r="AA208" i="3"/>
  <c r="P208" i="3"/>
  <c r="Q208" i="3" s="1"/>
  <c r="R208" i="3" s="1"/>
  <c r="S208" i="3" s="1"/>
  <c r="U207" i="3"/>
  <c r="Y206" i="3"/>
  <c r="T208" i="3" l="1"/>
  <c r="AG208" i="3" s="1"/>
  <c r="AH208" i="3" l="1"/>
  <c r="D208" i="3"/>
  <c r="G208" i="3" s="1"/>
  <c r="E208" i="3"/>
  <c r="H208" i="3" s="1"/>
  <c r="K208" i="3" s="1"/>
  <c r="F208" i="3" l="1"/>
  <c r="I208" i="3"/>
  <c r="J208" i="3"/>
  <c r="AD208" i="3" s="1"/>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AD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T217" i="3" l="1"/>
  <c r="D217" i="3" s="1"/>
  <c r="G217" i="3" l="1"/>
  <c r="AG217" i="3"/>
  <c r="AH217" i="3"/>
  <c r="E217" i="3"/>
  <c r="H217" i="3" s="1"/>
  <c r="I217" i="3" l="1"/>
  <c r="J217" i="3"/>
  <c r="AD217" i="3" s="1"/>
  <c r="M217" i="3"/>
  <c r="N217" i="3" s="1"/>
  <c r="K217" i="3"/>
  <c r="AE217" i="3" s="1"/>
  <c r="F217" i="3"/>
  <c r="V217" i="3" l="1"/>
  <c r="W217" i="3" s="1"/>
  <c r="A218" i="3"/>
  <c r="B218" i="3" s="1"/>
  <c r="L217" i="3"/>
  <c r="U217" i="3" l="1"/>
  <c r="Y216" i="3"/>
  <c r="AC218" i="3"/>
  <c r="AA218" i="3"/>
  <c r="Z218" i="3"/>
  <c r="P218" i="3"/>
  <c r="Q218" i="3" s="1"/>
  <c r="R218" i="3" s="1"/>
  <c r="S218" i="3" s="1"/>
  <c r="T218" i="3" l="1"/>
  <c r="AG218" i="3" s="1"/>
  <c r="AH218" i="3" l="1"/>
  <c r="E218" i="3"/>
  <c r="H218" i="3" s="1"/>
  <c r="K218" i="3" s="1"/>
  <c r="AE218" i="3" s="1"/>
  <c r="D218" i="3"/>
  <c r="G218" i="3" s="1"/>
  <c r="F218" i="3" l="1"/>
  <c r="I218" i="3"/>
  <c r="J218" i="3"/>
  <c r="AD218" i="3" s="1"/>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AD222" i="3"/>
  <c r="U221" i="3"/>
  <c r="Y220" i="3"/>
  <c r="T222" i="3" l="1"/>
  <c r="AH222" i="3" s="1"/>
  <c r="E222" i="3" l="1"/>
  <c r="H222" i="3" s="1"/>
  <c r="AG222" i="3"/>
  <c r="D222" i="3"/>
  <c r="F222" i="3" l="1"/>
  <c r="G222" i="3"/>
  <c r="K222" i="3"/>
  <c r="AE222" i="3" s="1"/>
  <c r="I222" i="3" l="1"/>
  <c r="J222" i="3"/>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AD225" i="3"/>
  <c r="Z225" i="3"/>
  <c r="U224" i="3" l="1"/>
  <c r="Y223" i="3"/>
  <c r="T225" i="3"/>
  <c r="AG225" i="3" s="1"/>
  <c r="AH225" i="3" l="1"/>
  <c r="E225" i="3"/>
  <c r="H225" i="3" s="1"/>
  <c r="D225" i="3"/>
  <c r="K225" i="3" l="1"/>
  <c r="AE225" i="3" s="1"/>
  <c r="F225" i="3"/>
  <c r="G225" i="3"/>
  <c r="I225" i="3" l="1"/>
  <c r="J225" i="3"/>
  <c r="M225" i="3"/>
  <c r="N225" i="3" s="1"/>
  <c r="V225" i="3"/>
  <c r="A226" i="3"/>
  <c r="B226" i="3" s="1"/>
  <c r="W225" i="3" l="1"/>
  <c r="L225" i="3"/>
  <c r="AD226" i="3"/>
  <c r="Z226" i="3"/>
  <c r="AA226" i="3"/>
  <c r="P226" i="3"/>
  <c r="Q226" i="3" s="1"/>
  <c r="R226" i="3" s="1"/>
  <c r="S226" i="3" s="1"/>
  <c r="AC226" i="3"/>
  <c r="U225" i="3" l="1"/>
  <c r="Y224" i="3"/>
  <c r="T226" i="3"/>
  <c r="D226" i="3" l="1"/>
  <c r="G226" i="3" s="1"/>
  <c r="AH226" i="3"/>
  <c r="AG226" i="3"/>
  <c r="E226" i="3"/>
  <c r="H226" i="3" s="1"/>
  <c r="F226" i="3" l="1"/>
  <c r="I226" i="3"/>
  <c r="J226" i="3"/>
  <c r="M226" i="3"/>
  <c r="N226" i="3" s="1"/>
  <c r="K226" i="3"/>
  <c r="AE226" i="3" s="1"/>
  <c r="V226" i="3" l="1"/>
  <c r="W226" i="3" s="1"/>
  <c r="A227" i="3"/>
  <c r="B227" i="3" s="1"/>
  <c r="L226" i="3"/>
  <c r="U226" i="3" l="1"/>
  <c r="Y225" i="3"/>
  <c r="P227" i="3"/>
  <c r="Q227" i="3" s="1"/>
  <c r="R227" i="3" s="1"/>
  <c r="S227" i="3" s="1"/>
  <c r="AA227" i="3"/>
  <c r="Z227" i="3"/>
  <c r="AC227" i="3"/>
  <c r="T227" i="3" l="1"/>
  <c r="D227" i="3" s="1"/>
  <c r="E227" i="3" l="1"/>
  <c r="H227" i="3" s="1"/>
  <c r="K227" i="3" s="1"/>
  <c r="AE227" i="3" s="1"/>
  <c r="AH227" i="3"/>
  <c r="AG227" i="3"/>
  <c r="G227" i="3"/>
  <c r="F227" i="3" l="1"/>
  <c r="V227" i="3"/>
  <c r="A228" i="3"/>
  <c r="B228" i="3" s="1"/>
  <c r="I227" i="3"/>
  <c r="J227" i="3"/>
  <c r="AD227" i="3" s="1"/>
  <c r="M227" i="3"/>
  <c r="N227" i="3" s="1"/>
  <c r="L227" i="3" l="1"/>
  <c r="W227"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AD228" i="3" s="1"/>
  <c r="M228" i="3"/>
  <c r="N228" i="3" s="1"/>
  <c r="W228" i="3" l="1"/>
  <c r="L228" i="3"/>
  <c r="AA229" i="3"/>
  <c r="AD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M229" i="3"/>
  <c r="N229" i="3" s="1"/>
  <c r="L229" i="3" l="1"/>
  <c r="W229" i="3"/>
  <c r="P230" i="3"/>
  <c r="Q230" i="3" s="1"/>
  <c r="R230" i="3" s="1"/>
  <c r="S230" i="3" s="1"/>
  <c r="AA230" i="3"/>
  <c r="AC230" i="3"/>
  <c r="AD230" i="3"/>
  <c r="Z230" i="3"/>
  <c r="U229" i="3" l="1"/>
  <c r="Y228" i="3"/>
  <c r="T230" i="3"/>
  <c r="AH230" i="3" s="1"/>
  <c r="AG230" i="3" l="1"/>
  <c r="D230" i="3"/>
  <c r="E230" i="3"/>
  <c r="H230" i="3" s="1"/>
  <c r="K230" i="3" l="1"/>
  <c r="AE230" i="3" s="1"/>
  <c r="F230" i="3"/>
  <c r="G230" i="3"/>
  <c r="I230" i="3" l="1"/>
  <c r="J230" i="3"/>
  <c r="M230" i="3"/>
  <c r="N230" i="3" s="1"/>
  <c r="V230" i="3"/>
  <c r="A231" i="3"/>
  <c r="B231" i="3" s="1"/>
  <c r="W230" i="3" l="1"/>
  <c r="L230" i="3"/>
  <c r="AD231"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M231" i="3"/>
  <c r="N231" i="3" s="1"/>
  <c r="L231" i="3" l="1"/>
  <c r="W231" i="3"/>
  <c r="P232" i="3"/>
  <c r="Q232" i="3" s="1"/>
  <c r="R232" i="3" s="1"/>
  <c r="S232" i="3" s="1"/>
  <c r="AD232" i="3"/>
  <c r="Z232" i="3"/>
  <c r="AA232" i="3"/>
  <c r="AC232" i="3"/>
  <c r="U231" i="3" l="1"/>
  <c r="Y230" i="3"/>
  <c r="T232" i="3"/>
  <c r="D232" i="3" l="1"/>
  <c r="G232" i="3" s="1"/>
  <c r="AG232" i="3"/>
  <c r="E232" i="3"/>
  <c r="H232" i="3" s="1"/>
  <c r="AH232" i="3"/>
  <c r="F232" i="3" l="1"/>
  <c r="I232" i="3"/>
  <c r="J232" i="3"/>
  <c r="M232" i="3"/>
  <c r="N232" i="3" s="1"/>
  <c r="K232" i="3"/>
  <c r="AE232" i="3" s="1"/>
  <c r="V232" i="3" l="1"/>
  <c r="W232" i="3" s="1"/>
  <c r="A233" i="3"/>
  <c r="B233" i="3" s="1"/>
  <c r="L232" i="3"/>
  <c r="U232" i="3" l="1"/>
  <c r="Y231" i="3"/>
  <c r="AA233" i="3"/>
  <c r="AD233" i="3"/>
  <c r="AC233" i="3"/>
  <c r="P233" i="3"/>
  <c r="Q233" i="3" s="1"/>
  <c r="R233" i="3" s="1"/>
  <c r="S233" i="3" s="1"/>
  <c r="Z233" i="3"/>
  <c r="T233" i="3" l="1"/>
  <c r="D233" i="3" s="1"/>
  <c r="AG233" i="3" l="1"/>
  <c r="AH233" i="3"/>
  <c r="E233" i="3"/>
  <c r="H233" i="3" s="1"/>
  <c r="K233" i="3" s="1"/>
  <c r="AE233" i="3" s="1"/>
  <c r="G233" i="3"/>
  <c r="F233" i="3" l="1"/>
  <c r="I233" i="3"/>
  <c r="J233" i="3"/>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P238" i="3"/>
  <c r="Q238" i="3" s="1"/>
  <c r="R238" i="3" s="1"/>
  <c r="S238" i="3" s="1"/>
  <c r="Z238" i="3"/>
  <c r="AC238" i="3"/>
  <c r="AA238" i="3"/>
  <c r="L237" i="3" l="1"/>
  <c r="U237" i="3" s="1"/>
  <c r="AD237" i="3"/>
  <c r="T238" i="3"/>
  <c r="Y236" i="3" l="1"/>
  <c r="AG238" i="3"/>
  <c r="AH238" i="3"/>
  <c r="E238" i="3"/>
  <c r="H238" i="3" s="1"/>
  <c r="K238" i="3" s="1"/>
  <c r="AE238" i="3" s="1"/>
  <c r="D238" i="3"/>
  <c r="F238" i="3" l="1"/>
  <c r="G238" i="3"/>
  <c r="M238" i="3" s="1"/>
  <c r="N238" i="3" s="1"/>
  <c r="V238" i="3"/>
  <c r="A239" i="3"/>
  <c r="B239" i="3" s="1"/>
  <c r="I238" i="3" l="1"/>
  <c r="W238" i="3" s="1"/>
  <c r="J238" i="3"/>
  <c r="AD239" i="3"/>
  <c r="P239" i="3"/>
  <c r="Q239" i="3" s="1"/>
  <c r="R239" i="3" s="1"/>
  <c r="S239" i="3" s="1"/>
  <c r="AC239" i="3"/>
  <c r="Z239" i="3"/>
  <c r="AA239" i="3"/>
  <c r="L238" i="3" l="1"/>
  <c r="U238" i="3" s="1"/>
  <c r="AD238" i="3"/>
  <c r="T239" i="3"/>
  <c r="Y237" i="3" l="1"/>
  <c r="D239" i="3"/>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D242" i="3"/>
  <c r="AC242" i="3"/>
  <c r="T242" i="3" l="1"/>
  <c r="D242" i="3" s="1"/>
  <c r="E242" i="3" l="1"/>
  <c r="H242" i="3" s="1"/>
  <c r="K242" i="3" s="1"/>
  <c r="AE242" i="3" s="1"/>
  <c r="G242" i="3"/>
  <c r="AH242" i="3"/>
  <c r="AG242" i="3"/>
  <c r="F242" i="3" l="1"/>
  <c r="I242" i="3"/>
  <c r="J242" i="3"/>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U246" i="3" l="1"/>
  <c r="Y245" i="3"/>
  <c r="T247" i="3"/>
  <c r="AG247" i="3" s="1"/>
  <c r="AH247" i="3" l="1"/>
  <c r="D247" i="3"/>
  <c r="E247" i="3"/>
  <c r="H247" i="3" s="1"/>
  <c r="K247" i="3" s="1"/>
  <c r="AE247" i="3" s="1"/>
  <c r="F247" i="3" l="1"/>
  <c r="G247" i="3"/>
  <c r="M247" i="3" s="1"/>
  <c r="N247" i="3" s="1"/>
  <c r="V247" i="3"/>
  <c r="A248" i="3"/>
  <c r="B248" i="3" s="1"/>
  <c r="I247" i="3" l="1"/>
  <c r="W247" i="3" s="1"/>
  <c r="J247" i="3"/>
  <c r="Z248" i="3"/>
  <c r="P248" i="3"/>
  <c r="Q248" i="3" s="1"/>
  <c r="R248" i="3" s="1"/>
  <c r="S248" i="3" s="1"/>
  <c r="AA248" i="3"/>
  <c r="AC248" i="3"/>
  <c r="L247" i="3" l="1"/>
  <c r="U247" i="3" s="1"/>
  <c r="AD247" i="3"/>
  <c r="T248" i="3"/>
  <c r="AG248" i="3" l="1"/>
  <c r="Y246" i="3"/>
  <c r="E248" i="3"/>
  <c r="H248" i="3" s="1"/>
  <c r="K248" i="3" s="1"/>
  <c r="AE248" i="3" s="1"/>
  <c r="AH248" i="3"/>
  <c r="D248" i="3"/>
  <c r="G248" i="3" s="1"/>
  <c r="F248" i="3" l="1"/>
  <c r="I248" i="3"/>
  <c r="J248" i="3"/>
  <c r="AD248" i="3" s="1"/>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AD252"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AD257" i="3" s="1"/>
  <c r="M257" i="3"/>
  <c r="N257" i="3" s="1"/>
  <c r="W257" i="3" l="1"/>
  <c r="L257" i="3"/>
  <c r="AC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AD258" i="3" s="1"/>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AD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T267" i="3" l="1"/>
  <c r="L266" i="3"/>
  <c r="AH267" i="3" l="1"/>
  <c r="AG267" i="3"/>
  <c r="U266" i="3"/>
  <c r="E267" i="3" s="1"/>
  <c r="H267" i="3" s="1"/>
  <c r="Y265" i="3"/>
  <c r="K267" i="3" l="1"/>
  <c r="AE267" i="3" s="1"/>
  <c r="D267" i="3"/>
  <c r="V267" i="3" l="1"/>
  <c r="A268" i="3"/>
  <c r="B268" i="3" s="1"/>
  <c r="F267" i="3"/>
  <c r="G267" i="3"/>
  <c r="I267" i="3" l="1"/>
  <c r="W267" i="3" s="1"/>
  <c r="J267" i="3"/>
  <c r="AD267" i="3" s="1"/>
  <c r="M267" i="3"/>
  <c r="N267" i="3" s="1"/>
  <c r="AC268" i="3"/>
  <c r="P268" i="3"/>
  <c r="Q268" i="3" s="1"/>
  <c r="R268" i="3" s="1"/>
  <c r="S268" i="3" s="1"/>
  <c r="Z268" i="3"/>
  <c r="AA268" i="3"/>
  <c r="T268" i="3" l="1"/>
  <c r="L267" i="3"/>
  <c r="U267" i="3" l="1"/>
  <c r="E268" i="3" s="1"/>
  <c r="H268" i="3" s="1"/>
  <c r="AH268" i="3"/>
  <c r="AG268" i="3"/>
  <c r="Y266" i="3"/>
  <c r="K268" i="3" l="1"/>
  <c r="AE268" i="3" s="1"/>
  <c r="D268" i="3"/>
  <c r="V268" i="3" l="1"/>
  <c r="A269" i="3"/>
  <c r="B269" i="3" s="1"/>
  <c r="F268" i="3"/>
  <c r="G268" i="3"/>
  <c r="I268" i="3" l="1"/>
  <c r="W268" i="3" s="1"/>
  <c r="J268" i="3"/>
  <c r="AD268" i="3" s="1"/>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AD272" i="3"/>
  <c r="Z272" i="3"/>
  <c r="AA272" i="3"/>
  <c r="P272" i="3"/>
  <c r="Q272" i="3" s="1"/>
  <c r="R272" i="3" s="1"/>
  <c r="S272" i="3" s="1"/>
  <c r="AC272" i="3"/>
  <c r="T272" i="3" l="1"/>
  <c r="U271" i="3"/>
  <c r="Y270" i="3"/>
  <c r="D272" i="3" l="1"/>
  <c r="G272" i="3" s="1"/>
  <c r="E272" i="3"/>
  <c r="H272" i="3" s="1"/>
  <c r="K272" i="3" s="1"/>
  <c r="AE272" i="3" s="1"/>
  <c r="AG272" i="3"/>
  <c r="AH272" i="3"/>
  <c r="F272" i="3" l="1"/>
  <c r="I272" i="3"/>
  <c r="J272" i="3"/>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A277" i="3"/>
  <c r="U276" i="3" l="1"/>
  <c r="Y275" i="3"/>
  <c r="T277" i="3"/>
  <c r="AG277" i="3" s="1"/>
  <c r="D277" i="3" l="1"/>
  <c r="G277" i="3" s="1"/>
  <c r="E277" i="3"/>
  <c r="H277" i="3" s="1"/>
  <c r="K277" i="3" s="1"/>
  <c r="AE277" i="3" s="1"/>
  <c r="AH277" i="3"/>
  <c r="F277" i="3" l="1"/>
  <c r="V277" i="3"/>
  <c r="A278" i="3"/>
  <c r="B278" i="3" s="1"/>
  <c r="I277" i="3"/>
  <c r="J277" i="3"/>
  <c r="AD277" i="3" s="1"/>
  <c r="M277" i="3"/>
  <c r="N277" i="3" s="1"/>
  <c r="W277" i="3" l="1"/>
  <c r="L277"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AD278" i="3" s="1"/>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AD282" i="3"/>
  <c r="P282" i="3"/>
  <c r="Q282" i="3" s="1"/>
  <c r="R282" i="3" s="1"/>
  <c r="S282" i="3" s="1"/>
  <c r="AA282" i="3"/>
  <c r="U281" i="3" l="1"/>
  <c r="Y280" i="3"/>
  <c r="T282" i="3"/>
  <c r="D282" i="3" l="1"/>
  <c r="G282" i="3" s="1"/>
  <c r="E282" i="3"/>
  <c r="H282" i="3" s="1"/>
  <c r="AH282" i="3"/>
  <c r="AG282" i="3"/>
  <c r="F282" i="3" l="1"/>
  <c r="I282" i="3"/>
  <c r="J282" i="3"/>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C287" i="3"/>
  <c r="T287" i="3" l="1"/>
  <c r="D287" i="3" s="1"/>
  <c r="G287" i="3" l="1"/>
  <c r="AH287" i="3"/>
  <c r="AG287" i="3"/>
  <c r="E287" i="3"/>
  <c r="H287" i="3" s="1"/>
  <c r="F287" i="3" l="1"/>
  <c r="K287" i="3"/>
  <c r="AE287" i="3" s="1"/>
  <c r="I287" i="3"/>
  <c r="J287" i="3"/>
  <c r="AD287" i="3" s="1"/>
  <c r="M287" i="3"/>
  <c r="N287" i="3" s="1"/>
  <c r="L287" i="3" l="1"/>
  <c r="V287" i="3"/>
  <c r="W287" i="3" s="1"/>
  <c r="A288" i="3"/>
  <c r="B288" i="3" s="1"/>
  <c r="U287" i="3" l="1"/>
  <c r="Y286" i="3"/>
  <c r="P288" i="3"/>
  <c r="Q288" i="3" s="1"/>
  <c r="R288" i="3" s="1"/>
  <c r="S288" i="3" s="1"/>
  <c r="AA288" i="3"/>
  <c r="AC288" i="3"/>
  <c r="Z288" i="3"/>
  <c r="T288" i="3" l="1"/>
  <c r="D288" i="3" s="1"/>
  <c r="AG288" i="3" l="1"/>
  <c r="AH288" i="3"/>
  <c r="E288" i="3"/>
  <c r="H288" i="3" s="1"/>
  <c r="K288" i="3" s="1"/>
  <c r="AE288" i="3" s="1"/>
  <c r="G288" i="3"/>
  <c r="F288" i="3" l="1"/>
  <c r="I288" i="3"/>
  <c r="J288" i="3"/>
  <c r="AD288" i="3" s="1"/>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D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T297" i="3" l="1"/>
  <c r="E297" i="3" s="1"/>
  <c r="H297" i="3" s="1"/>
  <c r="D297" i="3" l="1"/>
  <c r="F297" i="3" s="1"/>
  <c r="AG297" i="3"/>
  <c r="K297" i="3"/>
  <c r="AE297" i="3" s="1"/>
  <c r="AH297" i="3"/>
  <c r="G297" i="3" l="1"/>
  <c r="M297" i="3" s="1"/>
  <c r="N297" i="3" s="1"/>
  <c r="V297" i="3"/>
  <c r="A298" i="3"/>
  <c r="B298" i="3" s="1"/>
  <c r="J297" i="3" l="1"/>
  <c r="I297" i="3"/>
  <c r="W297" i="3" s="1"/>
  <c r="Z298" i="3"/>
  <c r="P298" i="3"/>
  <c r="Q298" i="3" s="1"/>
  <c r="R298" i="3" s="1"/>
  <c r="S298" i="3" s="1"/>
  <c r="AA298" i="3"/>
  <c r="AC298" i="3"/>
  <c r="L297" i="3" l="1"/>
  <c r="U297" i="3" s="1"/>
  <c r="AD297" i="3"/>
  <c r="T298" i="3"/>
  <c r="Y296" i="3" l="1"/>
  <c r="E298" i="3"/>
  <c r="H298" i="3" s="1"/>
  <c r="K298" i="3" s="1"/>
  <c r="AE298" i="3" s="1"/>
  <c r="AH298" i="3"/>
  <c r="D298" i="3"/>
  <c r="AG298" i="3"/>
  <c r="F298" i="3" l="1"/>
  <c r="G298" i="3"/>
  <c r="V298" i="3"/>
  <c r="A299" i="3"/>
  <c r="B299" i="3" s="1"/>
  <c r="I298" i="3" l="1"/>
  <c r="W298" i="3" s="1"/>
  <c r="J298" i="3"/>
  <c r="AD298" i="3" s="1"/>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AD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L302" i="3" s="1"/>
  <c r="AD303" i="3"/>
  <c r="Z303" i="3"/>
  <c r="P303" i="3"/>
  <c r="Q303" i="3" s="1"/>
  <c r="R303" i="3" s="1"/>
  <c r="S303" i="3" s="1"/>
  <c r="AA303" i="3"/>
  <c r="AC303" i="3"/>
  <c r="T303" i="3" l="1"/>
  <c r="U302" i="3"/>
  <c r="Y301" i="3"/>
  <c r="E303" i="3" l="1"/>
  <c r="H303" i="3" s="1"/>
  <c r="K303" i="3" s="1"/>
  <c r="AE303" i="3" s="1"/>
  <c r="D303" i="3"/>
  <c r="G303" i="3" s="1"/>
  <c r="AH303" i="3"/>
  <c r="AG303" i="3"/>
  <c r="F303" i="3" l="1"/>
  <c r="I303" i="3"/>
  <c r="J303" i="3"/>
  <c r="M303" i="3"/>
  <c r="N303" i="3" s="1"/>
  <c r="V303" i="3"/>
  <c r="A304" i="3"/>
  <c r="B304" i="3" s="1"/>
  <c r="W303" i="3" l="1"/>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T307" i="3" l="1"/>
  <c r="AH307" i="3" s="1"/>
  <c r="U306" i="3"/>
  <c r="Y305" i="3"/>
  <c r="D307" i="3" l="1"/>
  <c r="E307" i="3"/>
  <c r="H307" i="3" s="1"/>
  <c r="AG307" i="3"/>
  <c r="F307" i="3" l="1"/>
  <c r="G307" i="3"/>
  <c r="K307" i="3"/>
  <c r="AE307" i="3" s="1"/>
  <c r="I307" i="3" l="1"/>
  <c r="J307" i="3"/>
  <c r="AD307" i="3" s="1"/>
  <c r="M307" i="3"/>
  <c r="N307" i="3" s="1"/>
  <c r="V307" i="3"/>
  <c r="A308" i="3"/>
  <c r="B308" i="3" s="1"/>
  <c r="L307" i="3" l="1"/>
  <c r="Z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AD308" i="3" s="1"/>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AD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C317" i="3"/>
  <c r="T317" i="3" l="1"/>
  <c r="AG317" i="3" s="1"/>
  <c r="U316" i="3"/>
  <c r="Y315" i="3"/>
  <c r="E317" i="3" l="1"/>
  <c r="H317" i="3" s="1"/>
  <c r="K317" i="3" s="1"/>
  <c r="AE317" i="3" s="1"/>
  <c r="D317" i="3"/>
  <c r="AH317" i="3"/>
  <c r="V317" i="3" l="1"/>
  <c r="A318" i="3"/>
  <c r="B318" i="3" s="1"/>
  <c r="F317" i="3"/>
  <c r="G317" i="3"/>
  <c r="I317" i="3" l="1"/>
  <c r="W317" i="3" s="1"/>
  <c r="J317" i="3"/>
  <c r="AD317" i="3" s="1"/>
  <c r="M317" i="3"/>
  <c r="N317" i="3" s="1"/>
  <c r="AA318" i="3"/>
  <c r="P318" i="3"/>
  <c r="Q318" i="3" s="1"/>
  <c r="R318" i="3" s="1"/>
  <c r="S318" i="3" s="1"/>
  <c r="Z318" i="3"/>
  <c r="AC318" i="3"/>
  <c r="T318" i="3" l="1"/>
  <c r="L317" i="3"/>
  <c r="AH318" i="3" l="1"/>
  <c r="AG318" i="3"/>
  <c r="U317" i="3"/>
  <c r="E318" i="3" s="1"/>
  <c r="H318" i="3" s="1"/>
  <c r="Y316" i="3"/>
  <c r="K318" i="3" l="1"/>
  <c r="AE318" i="3" s="1"/>
  <c r="D318" i="3"/>
  <c r="V318" i="3" l="1"/>
  <c r="A319" i="3"/>
  <c r="B319" i="3" s="1"/>
  <c r="F318" i="3"/>
  <c r="G318" i="3"/>
  <c r="I318" i="3" l="1"/>
  <c r="W318" i="3" s="1"/>
  <c r="J318" i="3"/>
  <c r="AD318" i="3" s="1"/>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D322" i="3"/>
  <c r="AA322" i="3"/>
  <c r="T322" i="3" l="1"/>
  <c r="AH322" i="3" s="1"/>
  <c r="E322" i="3" l="1"/>
  <c r="H322" i="3" s="1"/>
  <c r="K322" i="3" s="1"/>
  <c r="AE322" i="3" s="1"/>
  <c r="AG322" i="3"/>
  <c r="D322" i="3"/>
  <c r="V322" i="3" l="1"/>
  <c r="A323" i="3"/>
  <c r="B323" i="3" s="1"/>
  <c r="F322" i="3"/>
  <c r="G322" i="3"/>
  <c r="I322" i="3" l="1"/>
  <c r="W322" i="3" s="1"/>
  <c r="J322" i="3"/>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A345" i="3"/>
  <c r="L344" i="3"/>
  <c r="T345" i="3" l="1"/>
  <c r="U344" i="3"/>
  <c r="Y343" i="3"/>
  <c r="E345" i="3" l="1"/>
  <c r="H345" i="3" s="1"/>
  <c r="K345" i="3" s="1"/>
  <c r="AE345" i="3" s="1"/>
  <c r="AH345" i="3"/>
  <c r="D345" i="3"/>
  <c r="AG345" i="3"/>
  <c r="F345" i="3" l="1"/>
  <c r="G345" i="3"/>
  <c r="V345" i="3"/>
  <c r="A346" i="3"/>
  <c r="B346" i="3" s="1"/>
  <c r="AC346" i="3" l="1"/>
  <c r="P346" i="3"/>
  <c r="Q346" i="3" s="1"/>
  <c r="R346" i="3" s="1"/>
  <c r="S346" i="3" s="1"/>
  <c r="AA346" i="3"/>
  <c r="Z346" i="3"/>
  <c r="I345" i="3"/>
  <c r="W345" i="3" s="1"/>
  <c r="J345" i="3"/>
  <c r="AD345" i="3" s="1"/>
  <c r="M345" i="3"/>
  <c r="N345" i="3" s="1"/>
  <c r="L345" i="3" l="1"/>
  <c r="T346" i="3"/>
  <c r="AH346" i="3" l="1"/>
  <c r="AG346" i="3"/>
  <c r="U345" i="3"/>
  <c r="D346" i="3" s="1"/>
  <c r="Y344" i="3"/>
  <c r="G346" i="3" l="1"/>
  <c r="E346" i="3"/>
  <c r="H346" i="3" s="1"/>
  <c r="F346" i="3" l="1"/>
  <c r="I346" i="3"/>
  <c r="J346" i="3"/>
  <c r="AD346" i="3" s="1"/>
  <c r="M346" i="3"/>
  <c r="N346" i="3" s="1"/>
  <c r="K346" i="3"/>
  <c r="AE346" i="3" s="1"/>
  <c r="V346" i="3" l="1"/>
  <c r="W346" i="3" s="1"/>
  <c r="A347" i="3"/>
  <c r="B347" i="3" s="1"/>
  <c r="L346" i="3"/>
  <c r="U346" i="3" l="1"/>
  <c r="Y345" i="3"/>
  <c r="AC347" i="3"/>
  <c r="Z347" i="3"/>
  <c r="AA347" i="3"/>
  <c r="P347" i="3"/>
  <c r="Q347" i="3" s="1"/>
  <c r="R347" i="3" s="1"/>
  <c r="S347" i="3" s="1"/>
  <c r="T347" i="3" l="1"/>
  <c r="E347" i="3" s="1"/>
  <c r="H347" i="3" s="1"/>
  <c r="K347" i="3" l="1"/>
  <c r="AE347" i="3" s="1"/>
  <c r="AH347" i="3"/>
  <c r="AG347" i="3"/>
  <c r="D347" i="3"/>
  <c r="F347" i="3" l="1"/>
  <c r="G347" i="3"/>
  <c r="V347" i="3"/>
  <c r="A348" i="3"/>
  <c r="B348" i="3" s="1"/>
  <c r="I347" i="3" l="1"/>
  <c r="W347" i="3" s="1"/>
  <c r="J347" i="3"/>
  <c r="AD347" i="3" s="1"/>
  <c r="M347" i="3"/>
  <c r="N347" i="3" s="1"/>
  <c r="AC348" i="3"/>
  <c r="AA348" i="3"/>
  <c r="P348" i="3"/>
  <c r="Q348" i="3" s="1"/>
  <c r="R348" i="3" s="1"/>
  <c r="S348" i="3" s="1"/>
  <c r="Z348" i="3"/>
  <c r="L347" i="3" l="1"/>
  <c r="T348" i="3"/>
  <c r="U347" i="3" l="1"/>
  <c r="D348" i="3" s="1"/>
  <c r="AH348" i="3"/>
  <c r="AG348" i="3"/>
  <c r="Y346" i="3"/>
  <c r="E348" i="3" l="1"/>
  <c r="H348" i="3" s="1"/>
  <c r="K348" i="3" s="1"/>
  <c r="AE348" i="3" s="1"/>
  <c r="G348" i="3"/>
  <c r="F348" i="3" l="1"/>
  <c r="I348" i="3"/>
  <c r="J348" i="3"/>
  <c r="AD348" i="3" s="1"/>
  <c r="M348" i="3"/>
  <c r="N348" i="3" s="1"/>
  <c r="V348" i="3"/>
  <c r="A349" i="3"/>
  <c r="B349" i="3" s="1"/>
  <c r="W348" i="3" l="1"/>
  <c r="L348" i="3"/>
  <c r="AC349" i="3"/>
  <c r="P349" i="3"/>
  <c r="Q349" i="3" s="1"/>
  <c r="R349" i="3" s="1"/>
  <c r="S349" i="3" s="1"/>
  <c r="AA349" i="3"/>
  <c r="Z349" i="3"/>
  <c r="U348" i="3" l="1"/>
  <c r="Y347" i="3"/>
  <c r="T349" i="3"/>
  <c r="AG349" i="3" s="1"/>
  <c r="E349" i="3" l="1"/>
  <c r="H349" i="3" s="1"/>
  <c r="K349" i="3" s="1"/>
  <c r="AE349" i="3" s="1"/>
  <c r="D349" i="3"/>
  <c r="AH349" i="3"/>
  <c r="V349" i="3" l="1"/>
  <c r="A350" i="3"/>
  <c r="B350" i="3" s="1"/>
  <c r="F349" i="3"/>
  <c r="G349" i="3"/>
  <c r="I349" i="3" l="1"/>
  <c r="W349" i="3" s="1"/>
  <c r="J349" i="3"/>
  <c r="AD349" i="3" s="1"/>
  <c r="M349" i="3"/>
  <c r="N349" i="3" s="1"/>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AD350" i="3" s="1"/>
  <c r="M350" i="3"/>
  <c r="N350" i="3" s="1"/>
  <c r="W350" i="3" l="1"/>
  <c r="L350" i="3"/>
  <c r="AA351" i="3"/>
  <c r="P351" i="3"/>
  <c r="Q351" i="3" s="1"/>
  <c r="R351" i="3" s="1"/>
  <c r="S351" i="3" s="1"/>
  <c r="Z351" i="3"/>
  <c r="AC351" i="3"/>
  <c r="U350" i="3" l="1"/>
  <c r="Y349" i="3"/>
  <c r="T351" i="3"/>
  <c r="D351" i="3" l="1"/>
  <c r="G351" i="3" s="1"/>
  <c r="AH351" i="3"/>
  <c r="E351" i="3"/>
  <c r="H351" i="3" s="1"/>
  <c r="K351" i="3" s="1"/>
  <c r="AE351" i="3" s="1"/>
  <c r="AG351" i="3"/>
  <c r="F351" i="3" l="1"/>
  <c r="V351" i="3"/>
  <c r="A352" i="3"/>
  <c r="B352" i="3" s="1"/>
  <c r="I351" i="3"/>
  <c r="J351" i="3"/>
  <c r="AD351" i="3" s="1"/>
  <c r="M351" i="3"/>
  <c r="N351" i="3" s="1"/>
  <c r="L351" i="3" l="1"/>
  <c r="W351" i="3"/>
  <c r="AC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A353" i="3"/>
  <c r="P353" i="3"/>
  <c r="Q353" i="3" s="1"/>
  <c r="R353" i="3" s="1"/>
  <c r="S353" i="3" s="1"/>
  <c r="Z353" i="3"/>
  <c r="I352" i="3"/>
  <c r="W352" i="3" s="1"/>
  <c r="J352" i="3"/>
  <c r="AD352" i="3" s="1"/>
  <c r="M352" i="3"/>
  <c r="N352" i="3" s="1"/>
  <c r="T353" i="3" l="1"/>
  <c r="L352" i="3"/>
  <c r="U352" i="3" l="1"/>
  <c r="D353" i="3" s="1"/>
  <c r="AH353" i="3"/>
  <c r="AG353" i="3"/>
  <c r="Y351" i="3"/>
  <c r="E353" i="3" l="1"/>
  <c r="H353" i="3" s="1"/>
  <c r="K353" i="3" s="1"/>
  <c r="AE353" i="3" s="1"/>
  <c r="G353" i="3"/>
  <c r="F353" i="3" l="1"/>
  <c r="I353" i="3"/>
  <c r="J353" i="3"/>
  <c r="AD353" i="3" s="1"/>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A367" i="3"/>
  <c r="T367" i="3" l="1"/>
  <c r="AG367" i="3" s="1"/>
  <c r="U366" i="3"/>
  <c r="Y365" i="3"/>
  <c r="D367" i="3" l="1"/>
  <c r="AH367" i="3"/>
  <c r="E367" i="3"/>
  <c r="H367" i="3" s="1"/>
  <c r="F367" i="3" l="1"/>
  <c r="G367" i="3"/>
  <c r="K367" i="3"/>
  <c r="AE367" i="3" s="1"/>
  <c r="I367" i="3" l="1"/>
  <c r="J367" i="3"/>
  <c r="AD367" i="3" s="1"/>
  <c r="M367" i="3"/>
  <c r="N367" i="3" s="1"/>
  <c r="V367" i="3"/>
  <c r="A368" i="3"/>
  <c r="B368" i="3" s="1"/>
  <c r="L367" i="3" l="1"/>
  <c r="W367" i="3"/>
  <c r="Z368" i="3"/>
  <c r="P368" i="3"/>
  <c r="Q368" i="3" s="1"/>
  <c r="R368" i="3" s="1"/>
  <c r="S368" i="3" s="1"/>
  <c r="AC368" i="3"/>
  <c r="AA368" i="3"/>
  <c r="T368" i="3" l="1"/>
  <c r="AH368" i="3" s="1"/>
  <c r="U367" i="3"/>
  <c r="Y366" i="3"/>
  <c r="E368" i="3" l="1"/>
  <c r="H368" i="3" s="1"/>
  <c r="K368" i="3" s="1"/>
  <c r="AE368" i="3" s="1"/>
  <c r="D368" i="3"/>
  <c r="AG368" i="3"/>
  <c r="V368" i="3" l="1"/>
  <c r="A369" i="3"/>
  <c r="B369" i="3" s="1"/>
  <c r="F368" i="3"/>
  <c r="G368" i="3"/>
  <c r="I368" i="3" l="1"/>
  <c r="W368" i="3" s="1"/>
  <c r="J368" i="3"/>
  <c r="AD368" i="3" s="1"/>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AD372" i="3"/>
  <c r="L371" i="3" l="1"/>
  <c r="T372" i="3"/>
  <c r="U371" i="3" l="1"/>
  <c r="E372" i="3" s="1"/>
  <c r="H372" i="3" s="1"/>
  <c r="AG372" i="3"/>
  <c r="AH372" i="3"/>
  <c r="Y370" i="3"/>
  <c r="D372" i="3" l="1"/>
  <c r="F372" i="3" s="1"/>
  <c r="K372" i="3"/>
  <c r="AE372" i="3" s="1"/>
  <c r="G372" i="3" l="1"/>
  <c r="M372" i="3" s="1"/>
  <c r="N372" i="3" s="1"/>
  <c r="V372" i="3"/>
  <c r="A373" i="3"/>
  <c r="B373" i="3" s="1"/>
  <c r="J372" i="3" l="1"/>
  <c r="L372" i="3" s="1"/>
  <c r="I372" i="3"/>
  <c r="W372" i="3" s="1"/>
  <c r="AD373" i="3"/>
  <c r="Z373" i="3"/>
  <c r="AC373" i="3"/>
  <c r="P373" i="3"/>
  <c r="Q373" i="3" s="1"/>
  <c r="R373" i="3" s="1"/>
  <c r="S373" i="3" s="1"/>
  <c r="AA373" i="3"/>
  <c r="U372" i="3" l="1"/>
  <c r="Y371" i="3"/>
  <c r="T373" i="3"/>
  <c r="AH373" i="3" s="1"/>
  <c r="D373" i="3" l="1"/>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Z377" i="3"/>
  <c r="U376" i="3"/>
  <c r="Y375" i="3"/>
  <c r="T377" i="3" l="1"/>
  <c r="AH377" i="3" s="1"/>
  <c r="E377" i="3" l="1"/>
  <c r="H377" i="3" s="1"/>
  <c r="K377" i="3" s="1"/>
  <c r="AE377" i="3" s="1"/>
  <c r="D377" i="3"/>
  <c r="AG377" i="3"/>
  <c r="F377" i="3" l="1"/>
  <c r="G377" i="3"/>
  <c r="M377" i="3" s="1"/>
  <c r="N377" i="3" s="1"/>
  <c r="V377" i="3"/>
  <c r="A378" i="3"/>
  <c r="B378" i="3" s="1"/>
  <c r="I377" i="3" l="1"/>
  <c r="W377" i="3" s="1"/>
  <c r="J377" i="3"/>
  <c r="Z378" i="3"/>
  <c r="AC378" i="3"/>
  <c r="P378" i="3"/>
  <c r="Q378" i="3" s="1"/>
  <c r="R378" i="3" s="1"/>
  <c r="S378" i="3" s="1"/>
  <c r="AA378" i="3"/>
  <c r="L377" i="3" l="1"/>
  <c r="U377" i="3" s="1"/>
  <c r="AD377" i="3"/>
  <c r="T378" i="3"/>
  <c r="Y376" i="3" l="1"/>
  <c r="D378" i="3"/>
  <c r="G378" i="3" s="1"/>
  <c r="AG378" i="3"/>
  <c r="E378" i="3"/>
  <c r="H378" i="3" s="1"/>
  <c r="K378" i="3" s="1"/>
  <c r="AE378" i="3" s="1"/>
  <c r="AH378" i="3"/>
  <c r="F378" i="3" l="1"/>
  <c r="V378" i="3"/>
  <c r="A379" i="3"/>
  <c r="B379" i="3" s="1"/>
  <c r="I378" i="3"/>
  <c r="J378" i="3"/>
  <c r="AD378" i="3" s="1"/>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D382" i="3"/>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A387" i="3"/>
  <c r="P387" i="3"/>
  <c r="Q387" i="3" s="1"/>
  <c r="R387" i="3" s="1"/>
  <c r="S387" i="3" s="1"/>
  <c r="AC387" i="3"/>
  <c r="Z387" i="3"/>
  <c r="U386" i="3" l="1"/>
  <c r="Y385" i="3"/>
  <c r="T387" i="3"/>
  <c r="AG387" i="3" s="1"/>
  <c r="AH387" i="3" l="1"/>
  <c r="D387" i="3"/>
  <c r="G387" i="3" s="1"/>
  <c r="E387" i="3"/>
  <c r="H387" i="3" s="1"/>
  <c r="F387" i="3" l="1"/>
  <c r="I387" i="3"/>
  <c r="J387" i="3"/>
  <c r="AD387" i="3" s="1"/>
  <c r="M387" i="3"/>
  <c r="N387" i="3" s="1"/>
  <c r="K387" i="3"/>
  <c r="AE387" i="3" s="1"/>
  <c r="V387" i="3" l="1"/>
  <c r="W387" i="3" s="1"/>
  <c r="A388" i="3"/>
  <c r="B388" i="3" s="1"/>
  <c r="L387" i="3"/>
  <c r="U387" i="3" l="1"/>
  <c r="Y386" i="3"/>
  <c r="AA388" i="3"/>
  <c r="Z388" i="3"/>
  <c r="P388" i="3"/>
  <c r="Q388" i="3" s="1"/>
  <c r="R388" i="3" s="1"/>
  <c r="S388" i="3" s="1"/>
  <c r="AC388" i="3"/>
  <c r="T388" i="3" l="1"/>
  <c r="E388" i="3" s="1"/>
  <c r="H388" i="3" s="1"/>
  <c r="K388" i="3" l="1"/>
  <c r="AE388" i="3" s="1"/>
  <c r="D388" i="3"/>
  <c r="AG388" i="3"/>
  <c r="AH388" i="3"/>
  <c r="V388" i="3" l="1"/>
  <c r="A389" i="3"/>
  <c r="B389" i="3" s="1"/>
  <c r="F388" i="3"/>
  <c r="G388" i="3"/>
  <c r="I388" i="3" l="1"/>
  <c r="W388" i="3" s="1"/>
  <c r="J388" i="3"/>
  <c r="AD388" i="3" s="1"/>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AD392" i="3"/>
  <c r="Z392" i="3"/>
  <c r="P392" i="3"/>
  <c r="Q392" i="3" s="1"/>
  <c r="R392" i="3" s="1"/>
  <c r="S392" i="3" s="1"/>
  <c r="AA392" i="3"/>
  <c r="AC392" i="3"/>
  <c r="T392" i="3" l="1"/>
  <c r="L391" i="3"/>
  <c r="U391" i="3" l="1"/>
  <c r="D392" i="3" s="1"/>
  <c r="AH392" i="3"/>
  <c r="AG392" i="3"/>
  <c r="Y390" i="3"/>
  <c r="G392" i="3" l="1"/>
  <c r="E392" i="3"/>
  <c r="H392" i="3" s="1"/>
  <c r="F392" i="3" l="1"/>
  <c r="I392" i="3"/>
  <c r="J392" i="3"/>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D395"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M395" i="3"/>
  <c r="N395" i="3" s="1"/>
  <c r="W395" i="3" l="1"/>
  <c r="L395" i="3"/>
  <c r="AA396" i="3"/>
  <c r="Z396" i="3"/>
  <c r="P396" i="3"/>
  <c r="Q396" i="3" s="1"/>
  <c r="R396" i="3" s="1"/>
  <c r="S396" i="3" s="1"/>
  <c r="AD396" i="3"/>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I396" i="3"/>
  <c r="W396" i="3" s="1"/>
  <c r="J396" i="3"/>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AC398" i="3"/>
  <c r="AA398" i="3"/>
  <c r="P398" i="3"/>
  <c r="Q398" i="3" s="1"/>
  <c r="R398" i="3" s="1"/>
  <c r="S398" i="3" s="1"/>
  <c r="Z398" i="3"/>
  <c r="L397" i="3" l="1"/>
  <c r="U397" i="3" s="1"/>
  <c r="AD397" i="3"/>
  <c r="T398" i="3"/>
  <c r="Y396" i="3" l="1"/>
  <c r="E398" i="3"/>
  <c r="H398" i="3" s="1"/>
  <c r="K398" i="3" s="1"/>
  <c r="AE398" i="3" s="1"/>
  <c r="D398" i="3"/>
  <c r="G398" i="3" s="1"/>
  <c r="AH398" i="3"/>
  <c r="AG398" i="3"/>
  <c r="F398" i="3" l="1"/>
  <c r="V398" i="3"/>
  <c r="A399" i="3"/>
  <c r="B399" i="3" s="1"/>
  <c r="I398" i="3"/>
  <c r="J398" i="3"/>
  <c r="AD398" i="3" s="1"/>
  <c r="M398" i="3"/>
  <c r="N398" i="3" s="1"/>
  <c r="L398" i="3" l="1"/>
  <c r="W398" i="3"/>
  <c r="Z399" i="3"/>
  <c r="P399" i="3"/>
  <c r="Q399" i="3" s="1"/>
  <c r="R399" i="3" s="1"/>
  <c r="S399" i="3" s="1"/>
  <c r="AD399" i="3"/>
  <c r="AA399" i="3"/>
  <c r="AC399" i="3"/>
  <c r="U398" i="3" l="1"/>
  <c r="Y397" i="3"/>
  <c r="T399" i="3"/>
  <c r="AH399" i="3" s="1"/>
  <c r="D399" i="3" l="1"/>
  <c r="G399" i="3" s="1"/>
  <c r="AG399" i="3"/>
  <c r="E399" i="3"/>
  <c r="H399" i="3" s="1"/>
  <c r="F399" i="3" l="1"/>
  <c r="I399" i="3"/>
  <c r="J399" i="3"/>
  <c r="M399" i="3"/>
  <c r="N399" i="3" s="1"/>
  <c r="K399" i="3"/>
  <c r="AE399" i="3" s="1"/>
  <c r="V399" i="3" l="1"/>
  <c r="W399" i="3" s="1"/>
  <c r="A400" i="3"/>
  <c r="B400" i="3" s="1"/>
  <c r="L399" i="3"/>
  <c r="U399" i="3" l="1"/>
  <c r="Y398" i="3"/>
  <c r="AD400"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M400" i="3"/>
  <c r="N400" i="3" s="1"/>
  <c r="W400" i="3" l="1"/>
  <c r="L400" i="3"/>
  <c r="AA401" i="3"/>
  <c r="Z401" i="3"/>
  <c r="AC401" i="3"/>
  <c r="AD401" i="3"/>
  <c r="P401" i="3"/>
  <c r="Q401" i="3" s="1"/>
  <c r="R401" i="3" s="1"/>
  <c r="S401" i="3" s="1"/>
  <c r="U400" i="3" l="1"/>
  <c r="Y399" i="3"/>
  <c r="T401" i="3"/>
  <c r="AG401" i="3" s="1"/>
  <c r="D401" i="3" l="1"/>
  <c r="E401" i="3"/>
  <c r="H401" i="3" s="1"/>
  <c r="K401" i="3" s="1"/>
  <c r="AE401" i="3" s="1"/>
  <c r="AH401" i="3"/>
  <c r="F401" i="3" l="1"/>
  <c r="G401" i="3"/>
  <c r="J401" i="3" s="1"/>
  <c r="V401" i="3"/>
  <c r="A402" i="3"/>
  <c r="B402" i="3" s="1"/>
  <c r="M401" i="3" l="1"/>
  <c r="N401" i="3" s="1"/>
  <c r="I401" i="3"/>
  <c r="W401" i="3" s="1"/>
  <c r="L401" i="3"/>
  <c r="AA402" i="3"/>
  <c r="AC402" i="3"/>
  <c r="Z402" i="3"/>
  <c r="AD402" i="3"/>
  <c r="P402" i="3"/>
  <c r="Q402" i="3" s="1"/>
  <c r="R402" i="3" s="1"/>
  <c r="S402" i="3" s="1"/>
  <c r="U401" i="3" l="1"/>
  <c r="Y400" i="3"/>
  <c r="T402" i="3"/>
  <c r="AG402" i="3" s="1"/>
  <c r="AH402" i="3" l="1"/>
  <c r="E402" i="3"/>
  <c r="H402" i="3" s="1"/>
  <c r="K402" i="3" s="1"/>
  <c r="AE402" i="3" s="1"/>
  <c r="D402" i="3"/>
  <c r="G402" i="3" s="1"/>
  <c r="F402" i="3" l="1"/>
  <c r="I402" i="3"/>
  <c r="J402" i="3"/>
  <c r="M402" i="3"/>
  <c r="N402" i="3" s="1"/>
  <c r="V402" i="3"/>
  <c r="A403" i="3"/>
  <c r="B403" i="3" s="1"/>
  <c r="W402" i="3" l="1"/>
  <c r="L402" i="3"/>
  <c r="AC403" i="3"/>
  <c r="AA403" i="3"/>
  <c r="P403" i="3"/>
  <c r="Q403" i="3" s="1"/>
  <c r="R403" i="3" s="1"/>
  <c r="S403" i="3" s="1"/>
  <c r="Z403" i="3"/>
  <c r="AD403" i="3"/>
  <c r="T403" i="3" l="1"/>
  <c r="AH403" i="3" s="1"/>
  <c r="U402" i="3"/>
  <c r="Y401" i="3"/>
  <c r="AG403" i="3" l="1"/>
  <c r="D403" i="3"/>
  <c r="E403" i="3"/>
  <c r="H403" i="3" s="1"/>
  <c r="F403" i="3" l="1"/>
  <c r="G403" i="3"/>
  <c r="K403" i="3"/>
  <c r="AE403" i="3" s="1"/>
  <c r="V403" i="3" l="1"/>
  <c r="A404" i="3"/>
  <c r="B404" i="3" s="1"/>
  <c r="I403" i="3"/>
  <c r="J403" i="3"/>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D405" i="3"/>
  <c r="AA405" i="3"/>
  <c r="U404" i="3" l="1"/>
  <c r="Y403" i="3"/>
  <c r="T405" i="3"/>
  <c r="E405" i="3" l="1"/>
  <c r="H405" i="3" s="1"/>
  <c r="K405" i="3" s="1"/>
  <c r="AE405" i="3" s="1"/>
  <c r="AH405" i="3"/>
  <c r="D405" i="3"/>
  <c r="AG405" i="3"/>
  <c r="F405" i="3" l="1"/>
  <c r="G405" i="3"/>
  <c r="V405" i="3"/>
  <c r="A406" i="3"/>
  <c r="B406" i="3" s="1"/>
  <c r="AD406" i="3" l="1"/>
  <c r="AA406" i="3"/>
  <c r="AC406" i="3"/>
  <c r="Z406" i="3"/>
  <c r="P406" i="3"/>
  <c r="Q406" i="3" s="1"/>
  <c r="R406" i="3" s="1"/>
  <c r="S406" i="3" s="1"/>
  <c r="I405" i="3"/>
  <c r="W405" i="3" s="1"/>
  <c r="J405" i="3"/>
  <c r="M405" i="3"/>
  <c r="N405" i="3" s="1"/>
  <c r="T406" i="3" l="1"/>
  <c r="L405" i="3"/>
  <c r="U405" i="3" l="1"/>
  <c r="E406" i="3" s="1"/>
  <c r="H406" i="3" s="1"/>
  <c r="AH406" i="3"/>
  <c r="AG406" i="3"/>
  <c r="Y404" i="3"/>
  <c r="K406" i="3" l="1"/>
  <c r="AE406" i="3" s="1"/>
  <c r="D406" i="3"/>
  <c r="V406" i="3" l="1"/>
  <c r="A407" i="3"/>
  <c r="B407" i="3" s="1"/>
  <c r="F406" i="3"/>
  <c r="G406" i="3"/>
  <c r="I406" i="3" l="1"/>
  <c r="W406" i="3" s="1"/>
  <c r="J406" i="3"/>
  <c r="M406" i="3"/>
  <c r="N406" i="3" s="1"/>
  <c r="AC407" i="3"/>
  <c r="Z407" i="3"/>
  <c r="P407" i="3"/>
  <c r="Q407" i="3" s="1"/>
  <c r="R407" i="3" s="1"/>
  <c r="S407" i="3" s="1"/>
  <c r="AA407" i="3"/>
  <c r="L406" i="3" l="1"/>
  <c r="T407" i="3"/>
  <c r="U406" i="3" l="1"/>
  <c r="D407" i="3" s="1"/>
  <c r="AG407" i="3"/>
  <c r="AH407" i="3"/>
  <c r="Y405" i="3"/>
  <c r="G407" i="3" l="1"/>
  <c r="E407" i="3"/>
  <c r="H407" i="3" s="1"/>
  <c r="F407" i="3" l="1"/>
  <c r="I407" i="3"/>
  <c r="J407" i="3"/>
  <c r="AD407" i="3" s="1"/>
  <c r="M407" i="3"/>
  <c r="N407" i="3" s="1"/>
  <c r="K407" i="3"/>
  <c r="AE407" i="3" s="1"/>
  <c r="V407" i="3" l="1"/>
  <c r="W407" i="3" s="1"/>
  <c r="A408" i="3"/>
  <c r="B408" i="3" s="1"/>
  <c r="L407" i="3"/>
  <c r="U407" i="3" l="1"/>
  <c r="Y406" i="3"/>
  <c r="Z408" i="3"/>
  <c r="AC408" i="3"/>
  <c r="P408" i="3"/>
  <c r="Q408" i="3" s="1"/>
  <c r="R408" i="3" s="1"/>
  <c r="S408" i="3" s="1"/>
  <c r="AA408" i="3"/>
  <c r="T408" i="3" l="1"/>
  <c r="AH408" i="3" s="1"/>
  <c r="E408" i="3" l="1"/>
  <c r="H408" i="3" s="1"/>
  <c r="K408" i="3" s="1"/>
  <c r="AE408" i="3" s="1"/>
  <c r="D408" i="3"/>
  <c r="G408" i="3" s="1"/>
  <c r="AG408" i="3"/>
  <c r="F408" i="3" l="1"/>
  <c r="I408" i="3"/>
  <c r="J408" i="3"/>
  <c r="AD408" i="3" s="1"/>
  <c r="M408" i="3"/>
  <c r="N408" i="3" s="1"/>
  <c r="V408" i="3"/>
  <c r="A409" i="3"/>
  <c r="B409" i="3" s="1"/>
  <c r="W408" i="3" l="1"/>
  <c r="L408" i="3"/>
  <c r="AA409" i="3"/>
  <c r="AC409" i="3"/>
  <c r="P409" i="3"/>
  <c r="Q409" i="3" s="1"/>
  <c r="R409" i="3" s="1"/>
  <c r="S409" i="3" s="1"/>
  <c r="AD409" i="3"/>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AD410" i="3"/>
  <c r="Z410" i="3"/>
  <c r="I409" i="3"/>
  <c r="W409" i="3" s="1"/>
  <c r="J409" i="3"/>
  <c r="M409" i="3"/>
  <c r="N409" i="3" s="1"/>
  <c r="T410" i="3" l="1"/>
  <c r="L409" i="3"/>
  <c r="AG410" i="3" l="1"/>
  <c r="U409" i="3"/>
  <c r="D410" i="3" s="1"/>
  <c r="AH410" i="3"/>
  <c r="Y408" i="3"/>
  <c r="E410" i="3" l="1"/>
  <c r="H410" i="3" s="1"/>
  <c r="K410" i="3" s="1"/>
  <c r="AE410" i="3" s="1"/>
  <c r="G410" i="3"/>
  <c r="F410" i="3" l="1"/>
  <c r="I410" i="3"/>
  <c r="J410" i="3"/>
  <c r="M410" i="3"/>
  <c r="N410" i="3" s="1"/>
  <c r="V410" i="3"/>
  <c r="A411" i="3"/>
  <c r="B411" i="3" s="1"/>
  <c r="W410" i="3" l="1"/>
  <c r="L410" i="3"/>
  <c r="AC411" i="3"/>
  <c r="P411" i="3"/>
  <c r="Q411" i="3" s="1"/>
  <c r="R411" i="3" s="1"/>
  <c r="S411" i="3" s="1"/>
  <c r="AA411" i="3"/>
  <c r="Z411" i="3"/>
  <c r="AD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AD412" i="3"/>
  <c r="I411" i="3"/>
  <c r="W411" i="3" s="1"/>
  <c r="J411" i="3"/>
  <c r="M411" i="3"/>
  <c r="N411" i="3" s="1"/>
  <c r="T412" i="3" l="1"/>
  <c r="L411" i="3"/>
  <c r="U411" i="3" l="1"/>
  <c r="D412" i="3" s="1"/>
  <c r="AG412" i="3"/>
  <c r="AH412" i="3"/>
  <c r="Y410" i="3"/>
  <c r="G412" i="3" l="1"/>
  <c r="E412" i="3"/>
  <c r="H412" i="3" s="1"/>
  <c r="F412" i="3" l="1"/>
  <c r="I412" i="3"/>
  <c r="J412" i="3"/>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U424" i="3" l="1"/>
  <c r="Y423" i="3"/>
  <c r="T425" i="3"/>
  <c r="E425" i="3" l="1"/>
  <c r="H425" i="3" s="1"/>
  <c r="K425" i="3" s="1"/>
  <c r="AE425" i="3" s="1"/>
  <c r="D425" i="3"/>
  <c r="G425" i="3" s="1"/>
  <c r="AH425" i="3"/>
  <c r="AG425" i="3"/>
  <c r="F425" i="3" l="1"/>
  <c r="I425" i="3"/>
  <c r="J425" i="3"/>
  <c r="AD425" i="3" s="1"/>
  <c r="M425" i="3"/>
  <c r="N425" i="3" s="1"/>
  <c r="V425" i="3"/>
  <c r="A426" i="3"/>
  <c r="B426" i="3" s="1"/>
  <c r="L425" i="3" l="1"/>
  <c r="W425" i="3"/>
  <c r="P426" i="3"/>
  <c r="Q426" i="3" s="1"/>
  <c r="R426" i="3" s="1"/>
  <c r="S426" i="3" s="1"/>
  <c r="AA426" i="3"/>
  <c r="Z426" i="3"/>
  <c r="AC426" i="3"/>
  <c r="U425" i="3" l="1"/>
  <c r="Y424" i="3"/>
  <c r="T426" i="3"/>
  <c r="AH426" i="3" s="1"/>
  <c r="E426" i="3" l="1"/>
  <c r="H426" i="3" s="1"/>
  <c r="D426" i="3"/>
  <c r="AG426" i="3"/>
  <c r="K426" i="3" l="1"/>
  <c r="AE426" i="3" s="1"/>
  <c r="F426" i="3"/>
  <c r="G426" i="3"/>
  <c r="V426" i="3" l="1"/>
  <c r="A427" i="3"/>
  <c r="B427" i="3" s="1"/>
  <c r="I426" i="3"/>
  <c r="J426" i="3"/>
  <c r="AD426" i="3" s="1"/>
  <c r="M426" i="3"/>
  <c r="N426" i="3" s="1"/>
  <c r="W426" i="3" l="1"/>
  <c r="L426" i="3"/>
  <c r="P427" i="3"/>
  <c r="Q427" i="3" s="1"/>
  <c r="R427" i="3" s="1"/>
  <c r="S427" i="3" s="1"/>
  <c r="AC427" i="3"/>
  <c r="Z427" i="3"/>
  <c r="AA427" i="3"/>
  <c r="U426" i="3" l="1"/>
  <c r="Y425" i="3"/>
  <c r="T427" i="3"/>
  <c r="AG427" i="3" s="1"/>
  <c r="D427" i="3" l="1"/>
  <c r="G427" i="3" s="1"/>
  <c r="E427" i="3"/>
  <c r="H427" i="3" s="1"/>
  <c r="K427" i="3" s="1"/>
  <c r="AE427" i="3" s="1"/>
  <c r="AH427" i="3"/>
  <c r="F427" i="3" l="1"/>
  <c r="I427" i="3"/>
  <c r="J427" i="3"/>
  <c r="AD427" i="3" s="1"/>
  <c r="M427" i="3"/>
  <c r="N427" i="3" s="1"/>
  <c r="V427" i="3"/>
  <c r="A428" i="3"/>
  <c r="B428" i="3" s="1"/>
  <c r="W427" i="3" l="1"/>
  <c r="L427" i="3"/>
  <c r="P428" i="3"/>
  <c r="Q428" i="3" s="1"/>
  <c r="R428" i="3" s="1"/>
  <c r="S428" i="3" s="1"/>
  <c r="AC428" i="3"/>
  <c r="Z428" i="3"/>
  <c r="AA428" i="3"/>
  <c r="U427" i="3" l="1"/>
  <c r="Y426" i="3"/>
  <c r="T428" i="3"/>
  <c r="AG428" i="3" s="1"/>
  <c r="E428" i="3" l="1"/>
  <c r="H428" i="3" s="1"/>
  <c r="AH428" i="3"/>
  <c r="D428" i="3"/>
  <c r="K428" i="3" l="1"/>
  <c r="AE428" i="3" s="1"/>
  <c r="F428" i="3"/>
  <c r="G428" i="3"/>
  <c r="I428" i="3" l="1"/>
  <c r="J428" i="3"/>
  <c r="AD428" i="3" s="1"/>
  <c r="M428" i="3"/>
  <c r="N428" i="3" s="1"/>
  <c r="V428" i="3"/>
  <c r="A429" i="3"/>
  <c r="B429" i="3" s="1"/>
  <c r="W428" i="3" l="1"/>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AD429" i="3" s="1"/>
  <c r="M429" i="3"/>
  <c r="N429" i="3" s="1"/>
  <c r="V429" i="3"/>
  <c r="A430" i="3"/>
  <c r="B430" i="3" s="1"/>
  <c r="L429" i="3" l="1"/>
  <c r="W429" i="3"/>
  <c r="AA430" i="3"/>
  <c r="Z430" i="3"/>
  <c r="P430" i="3"/>
  <c r="Q430" i="3" s="1"/>
  <c r="R430" i="3" s="1"/>
  <c r="S430" i="3" s="1"/>
  <c r="AC430" i="3"/>
  <c r="U429" i="3" l="1"/>
  <c r="Y428" i="3"/>
  <c r="T430" i="3"/>
  <c r="D430" i="3" l="1"/>
  <c r="G430" i="3" s="1"/>
  <c r="AH430" i="3"/>
  <c r="E430" i="3"/>
  <c r="H430" i="3" s="1"/>
  <c r="AG430" i="3"/>
  <c r="F430" i="3" l="1"/>
  <c r="I430" i="3"/>
  <c r="J430" i="3"/>
  <c r="AD430" i="3" s="1"/>
  <c r="M430" i="3"/>
  <c r="N430" i="3" s="1"/>
  <c r="K430" i="3"/>
  <c r="AE430" i="3" s="1"/>
  <c r="V430" i="3" l="1"/>
  <c r="W430" i="3" s="1"/>
  <c r="A431" i="3"/>
  <c r="B431" i="3" s="1"/>
  <c r="L430" i="3"/>
  <c r="U430" i="3" l="1"/>
  <c r="Y429" i="3"/>
  <c r="AC431" i="3"/>
  <c r="Z431" i="3"/>
  <c r="P431" i="3"/>
  <c r="Q431" i="3" s="1"/>
  <c r="R431" i="3" s="1"/>
  <c r="S431" i="3" s="1"/>
  <c r="AA431" i="3"/>
  <c r="T431" i="3" l="1"/>
  <c r="AH431" i="3" s="1"/>
  <c r="E431" i="3" l="1"/>
  <c r="H431" i="3" s="1"/>
  <c r="AG431" i="3"/>
  <c r="D431" i="3"/>
  <c r="K431" i="3" l="1"/>
  <c r="AE431" i="3" s="1"/>
  <c r="F431" i="3"/>
  <c r="G431" i="3"/>
  <c r="V431" i="3" l="1"/>
  <c r="A432" i="3"/>
  <c r="B432" i="3" s="1"/>
  <c r="I431" i="3"/>
  <c r="J431" i="3"/>
  <c r="AD431" i="3" s="1"/>
  <c r="M431" i="3"/>
  <c r="N431" i="3" s="1"/>
  <c r="W431" i="3" l="1"/>
  <c r="L431" i="3"/>
  <c r="AA432" i="3"/>
  <c r="P432" i="3"/>
  <c r="Q432" i="3" s="1"/>
  <c r="R432" i="3" s="1"/>
  <c r="S432" i="3" s="1"/>
  <c r="AC432" i="3"/>
  <c r="Z432" i="3"/>
  <c r="T432" i="3" l="1"/>
  <c r="AH432" i="3" s="1"/>
  <c r="U431" i="3"/>
  <c r="Y430" i="3"/>
  <c r="AG432" i="3" l="1"/>
  <c r="E432" i="3"/>
  <c r="H432" i="3" s="1"/>
  <c r="D432" i="3"/>
  <c r="K432" i="3" l="1"/>
  <c r="AE432" i="3" s="1"/>
  <c r="F432" i="3"/>
  <c r="G432" i="3"/>
  <c r="I432" i="3" l="1"/>
  <c r="J432" i="3"/>
  <c r="AD432" i="3" s="1"/>
  <c r="M432" i="3"/>
  <c r="N432" i="3" s="1"/>
  <c r="V432" i="3"/>
  <c r="A433" i="3"/>
  <c r="B433" i="3" s="1"/>
  <c r="W432" i="3" l="1"/>
  <c r="L432" i="3"/>
  <c r="P433" i="3"/>
  <c r="Q433" i="3" s="1"/>
  <c r="R433" i="3" s="1"/>
  <c r="S433" i="3" s="1"/>
  <c r="AC433" i="3"/>
  <c r="Z433" i="3"/>
  <c r="AA433" i="3"/>
  <c r="U432" i="3" l="1"/>
  <c r="Y431" i="3"/>
  <c r="T433" i="3"/>
  <c r="E433" i="3" l="1"/>
  <c r="H433" i="3" s="1"/>
  <c r="K433" i="3" s="1"/>
  <c r="AE433" i="3" s="1"/>
  <c r="D433" i="3"/>
  <c r="AG433" i="3"/>
  <c r="AH433" i="3"/>
  <c r="F433" i="3" l="1"/>
  <c r="G433" i="3"/>
  <c r="M433" i="3" s="1"/>
  <c r="N433" i="3" s="1"/>
  <c r="V433" i="3"/>
  <c r="A434" i="3"/>
  <c r="B434" i="3" s="1"/>
  <c r="I433" i="3" l="1"/>
  <c r="W433" i="3" s="1"/>
  <c r="J433" i="3"/>
  <c r="P434" i="3"/>
  <c r="Q434" i="3" s="1"/>
  <c r="R434" i="3" s="1"/>
  <c r="S434" i="3" s="1"/>
  <c r="Z434" i="3"/>
  <c r="AA434" i="3"/>
  <c r="AC434" i="3"/>
  <c r="L433" i="3" l="1"/>
  <c r="AD433" i="3"/>
  <c r="U433" i="3"/>
  <c r="Y432" i="3"/>
  <c r="T434" i="3"/>
  <c r="AH434" i="3" s="1"/>
  <c r="E434" i="3" l="1"/>
  <c r="H434" i="3" s="1"/>
  <c r="K434" i="3" s="1"/>
  <c r="AE434" i="3" s="1"/>
  <c r="AG434" i="3"/>
  <c r="D434" i="3"/>
  <c r="F434" i="3" l="1"/>
  <c r="G434" i="3"/>
  <c r="M434" i="3" s="1"/>
  <c r="N434" i="3" s="1"/>
  <c r="V434" i="3"/>
  <c r="A435" i="3"/>
  <c r="B435" i="3" s="1"/>
  <c r="I434" i="3" l="1"/>
  <c r="W434" i="3" s="1"/>
  <c r="J434" i="3"/>
  <c r="P435" i="3"/>
  <c r="Q435" i="3" s="1"/>
  <c r="R435" i="3" s="1"/>
  <c r="S435" i="3" s="1"/>
  <c r="AA435" i="3"/>
  <c r="AD435" i="3"/>
  <c r="AC435" i="3"/>
  <c r="Z435" i="3"/>
  <c r="L434" i="3" l="1"/>
  <c r="Y433" i="3" s="1"/>
  <c r="AD434" i="3"/>
  <c r="T435" i="3"/>
  <c r="U434" i="3" l="1"/>
  <c r="E435" i="3" s="1"/>
  <c r="H435" i="3" s="1"/>
  <c r="AG435" i="3"/>
  <c r="AH435" i="3"/>
  <c r="D435" i="3" l="1"/>
  <c r="G435" i="3" s="1"/>
  <c r="I435" i="3" s="1"/>
  <c r="K435" i="3"/>
  <c r="AE435" i="3" s="1"/>
  <c r="J435" i="3" l="1"/>
  <c r="L435" i="3" s="1"/>
  <c r="M435" i="3"/>
  <c r="N435" i="3" s="1"/>
  <c r="F435" i="3"/>
  <c r="V435" i="3"/>
  <c r="W435" i="3" s="1"/>
  <c r="A436" i="3"/>
  <c r="B436" i="3" s="1"/>
  <c r="AC436" i="3" l="1"/>
  <c r="Z436" i="3"/>
  <c r="P436" i="3"/>
  <c r="Q436" i="3" s="1"/>
  <c r="R436" i="3" s="1"/>
  <c r="S436" i="3" s="1"/>
  <c r="AA436" i="3"/>
  <c r="AD436" i="3"/>
  <c r="U435" i="3"/>
  <c r="Y434" i="3"/>
  <c r="T436" i="3" l="1"/>
  <c r="E436" i="3" l="1"/>
  <c r="H436" i="3" s="1"/>
  <c r="D436" i="3"/>
  <c r="AH436" i="3"/>
  <c r="AG436" i="3"/>
  <c r="F436" i="3" l="1"/>
  <c r="G436" i="3"/>
  <c r="K436" i="3"/>
  <c r="AE436" i="3" s="1"/>
  <c r="I436" i="3" l="1"/>
  <c r="J436" i="3"/>
  <c r="M436" i="3"/>
  <c r="N436" i="3" s="1"/>
  <c r="V436" i="3"/>
  <c r="A437" i="3"/>
  <c r="B437" i="3" s="1"/>
  <c r="W436" i="3" l="1"/>
  <c r="L436" i="3"/>
  <c r="AC437" i="3"/>
  <c r="AA437" i="3"/>
  <c r="P437" i="3"/>
  <c r="Q437" i="3" s="1"/>
  <c r="R437" i="3" s="1"/>
  <c r="S437" i="3" s="1"/>
  <c r="Z437" i="3"/>
  <c r="U436" i="3" l="1"/>
  <c r="Y435" i="3"/>
  <c r="T437" i="3"/>
  <c r="AH437" i="3" s="1"/>
  <c r="D437" i="3" l="1"/>
  <c r="G437" i="3" s="1"/>
  <c r="E437" i="3"/>
  <c r="H437" i="3" s="1"/>
  <c r="K437" i="3" s="1"/>
  <c r="AE437" i="3" s="1"/>
  <c r="AG437" i="3"/>
  <c r="F437" i="3" l="1"/>
  <c r="I437" i="3"/>
  <c r="J437" i="3"/>
  <c r="AD437" i="3" s="1"/>
  <c r="M437" i="3"/>
  <c r="N437" i="3" s="1"/>
  <c r="V437" i="3"/>
  <c r="A438" i="3"/>
  <c r="B438" i="3" s="1"/>
  <c r="W437" i="3" l="1"/>
  <c r="L437" i="3"/>
  <c r="Z438" i="3"/>
  <c r="P438" i="3"/>
  <c r="Q438" i="3" s="1"/>
  <c r="R438" i="3" s="1"/>
  <c r="S438" i="3" s="1"/>
  <c r="AC438" i="3"/>
  <c r="AA438" i="3"/>
  <c r="U437" i="3" l="1"/>
  <c r="Y436" i="3"/>
  <c r="T438" i="3"/>
  <c r="E438" i="3" l="1"/>
  <c r="H438" i="3" s="1"/>
  <c r="K438" i="3" s="1"/>
  <c r="AE438" i="3" s="1"/>
  <c r="D438" i="3"/>
  <c r="AH438" i="3"/>
  <c r="AG438" i="3"/>
  <c r="V438" i="3" l="1"/>
  <c r="A439" i="3"/>
  <c r="B439" i="3" s="1"/>
  <c r="F438" i="3"/>
  <c r="G438" i="3"/>
  <c r="I438" i="3" l="1"/>
  <c r="W438" i="3" s="1"/>
  <c r="J438" i="3"/>
  <c r="AD438" i="3" s="1"/>
  <c r="M438" i="3"/>
  <c r="N438" i="3" s="1"/>
  <c r="Z439" i="3"/>
  <c r="P439" i="3"/>
  <c r="Q439" i="3" s="1"/>
  <c r="R439" i="3" s="1"/>
  <c r="S439" i="3" s="1"/>
  <c r="AD439" i="3"/>
  <c r="AC439" i="3"/>
  <c r="AA439" i="3"/>
  <c r="T439" i="3" l="1"/>
  <c r="L438" i="3"/>
  <c r="AG439" i="3" l="1"/>
  <c r="AH439" i="3"/>
  <c r="U438" i="3"/>
  <c r="E439" i="3" s="1"/>
  <c r="H439" i="3" s="1"/>
  <c r="Y437" i="3"/>
  <c r="D439" i="3" l="1"/>
  <c r="G439" i="3" s="1"/>
  <c r="K439" i="3"/>
  <c r="AE439" i="3" s="1"/>
  <c r="F439" i="3" l="1"/>
  <c r="V439" i="3"/>
  <c r="A440" i="3"/>
  <c r="B440" i="3" s="1"/>
  <c r="I439" i="3"/>
  <c r="J439" i="3"/>
  <c r="M439" i="3"/>
  <c r="N439" i="3" s="1"/>
  <c r="W439" i="3" l="1"/>
  <c r="L439" i="3"/>
  <c r="Z440" i="3"/>
  <c r="AC440" i="3"/>
  <c r="P440" i="3"/>
  <c r="Q440" i="3" s="1"/>
  <c r="R440" i="3" s="1"/>
  <c r="S440" i="3" s="1"/>
  <c r="AA440" i="3"/>
  <c r="AD440" i="3"/>
  <c r="T440" i="3" l="1"/>
  <c r="AH440" i="3" s="1"/>
  <c r="U439" i="3"/>
  <c r="Y438" i="3"/>
  <c r="AG440" i="3" l="1"/>
  <c r="D440" i="3"/>
  <c r="E440" i="3"/>
  <c r="H440" i="3" s="1"/>
  <c r="K440" i="3" l="1"/>
  <c r="AE440" i="3" s="1"/>
  <c r="F440" i="3"/>
  <c r="G440" i="3"/>
  <c r="I440" i="3" l="1"/>
  <c r="J440" i="3"/>
  <c r="M440" i="3"/>
  <c r="N440" i="3" s="1"/>
  <c r="V440" i="3"/>
  <c r="A441" i="3"/>
  <c r="B441" i="3" s="1"/>
  <c r="W440" i="3" l="1"/>
  <c r="L440" i="3"/>
  <c r="P441" i="3"/>
  <c r="Q441" i="3" s="1"/>
  <c r="R441" i="3" s="1"/>
  <c r="S441" i="3" s="1"/>
  <c r="AD441" i="3"/>
  <c r="AC441" i="3"/>
  <c r="Z441" i="3"/>
  <c r="AA441" i="3"/>
  <c r="T441" i="3" l="1"/>
  <c r="AH441" i="3" s="1"/>
  <c r="U440" i="3"/>
  <c r="Y439" i="3"/>
  <c r="E441" i="3" l="1"/>
  <c r="H441" i="3" s="1"/>
  <c r="K441" i="3" s="1"/>
  <c r="AE441" i="3" s="1"/>
  <c r="AG441" i="3"/>
  <c r="D441" i="3"/>
  <c r="V441" i="3" l="1"/>
  <c r="A442" i="3"/>
  <c r="B442" i="3" s="1"/>
  <c r="F441" i="3"/>
  <c r="G441" i="3"/>
  <c r="I441" i="3" l="1"/>
  <c r="W441" i="3" s="1"/>
  <c r="J441" i="3"/>
  <c r="M441" i="3"/>
  <c r="N441" i="3" s="1"/>
  <c r="AC442" i="3"/>
  <c r="AD442" i="3"/>
  <c r="AA442" i="3"/>
  <c r="P442" i="3"/>
  <c r="Q442" i="3" s="1"/>
  <c r="R442" i="3" s="1"/>
  <c r="S442" i="3" s="1"/>
  <c r="Z442" i="3"/>
  <c r="T442" i="3" l="1"/>
  <c r="L441" i="3"/>
  <c r="U441" i="3" l="1"/>
  <c r="D442" i="3" s="1"/>
  <c r="AH442" i="3"/>
  <c r="AG442" i="3"/>
  <c r="Y440" i="3"/>
  <c r="G442" i="3" l="1"/>
  <c r="E442" i="3"/>
  <c r="H442" i="3" s="1"/>
  <c r="I442" i="3" l="1"/>
  <c r="J442" i="3"/>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U446" i="3"/>
  <c r="Y445" i="3"/>
  <c r="T447" i="3" l="1"/>
  <c r="AG447" i="3" s="1"/>
  <c r="D447" i="3" l="1"/>
  <c r="G447" i="3" s="1"/>
  <c r="AH447" i="3"/>
  <c r="E447" i="3"/>
  <c r="H447" i="3" s="1"/>
  <c r="K447" i="3" s="1"/>
  <c r="AE447" i="3" s="1"/>
  <c r="F447" i="3" l="1"/>
  <c r="I447" i="3"/>
  <c r="J447" i="3"/>
  <c r="AD447" i="3" s="1"/>
  <c r="M447" i="3"/>
  <c r="N447" i="3" s="1"/>
  <c r="V447" i="3"/>
  <c r="A448" i="3"/>
  <c r="B448" i="3" s="1"/>
  <c r="W447" i="3" l="1"/>
  <c r="L447" i="3"/>
  <c r="Z448" i="3"/>
  <c r="AA448" i="3"/>
  <c r="P448" i="3"/>
  <c r="Q448" i="3" s="1"/>
  <c r="R448" i="3" s="1"/>
  <c r="S448" i="3" s="1"/>
  <c r="AC448" i="3"/>
  <c r="T448" i="3" l="1"/>
  <c r="AG448" i="3" s="1"/>
  <c r="U447" i="3"/>
  <c r="Y446" i="3"/>
  <c r="D448" i="3" l="1"/>
  <c r="G448" i="3" s="1"/>
  <c r="E448" i="3"/>
  <c r="H448" i="3" s="1"/>
  <c r="AH448" i="3"/>
  <c r="F448" i="3" l="1"/>
  <c r="I448" i="3"/>
  <c r="J448" i="3"/>
  <c r="AD448" i="3" s="1"/>
  <c r="M448" i="3"/>
  <c r="N448" i="3" s="1"/>
  <c r="K448" i="3"/>
  <c r="AE448" i="3" s="1"/>
  <c r="V448" i="3" l="1"/>
  <c r="W448" i="3" s="1"/>
  <c r="A449" i="3"/>
  <c r="B449" i="3" s="1"/>
  <c r="L448" i="3"/>
  <c r="U448" i="3" l="1"/>
  <c r="Y447" i="3"/>
  <c r="P449" i="3"/>
  <c r="Q449" i="3" s="1"/>
  <c r="R449" i="3" s="1"/>
  <c r="S449" i="3" s="1"/>
  <c r="AD449" i="3"/>
  <c r="AA449" i="3"/>
  <c r="Z449" i="3"/>
  <c r="AC449" i="3"/>
  <c r="T449" i="3" l="1"/>
  <c r="D449" i="3" s="1"/>
  <c r="G449" i="3" l="1"/>
  <c r="AG449" i="3"/>
  <c r="AH449" i="3"/>
  <c r="E449" i="3"/>
  <c r="H449" i="3" s="1"/>
  <c r="K449" i="3" l="1"/>
  <c r="AE449" i="3" s="1"/>
  <c r="F449" i="3"/>
  <c r="I449" i="3"/>
  <c r="J449" i="3"/>
  <c r="M449" i="3"/>
  <c r="N449" i="3" s="1"/>
  <c r="L449" i="3" l="1"/>
  <c r="V449" i="3"/>
  <c r="W449" i="3" s="1"/>
  <c r="A450" i="3"/>
  <c r="B450" i="3" s="1"/>
  <c r="P450" i="3" l="1"/>
  <c r="Q450" i="3" s="1"/>
  <c r="R450" i="3" s="1"/>
  <c r="S450" i="3" s="1"/>
  <c r="AD450" i="3"/>
  <c r="Z450" i="3"/>
  <c r="AC450" i="3"/>
  <c r="AA450" i="3"/>
  <c r="U449" i="3"/>
  <c r="Y448" i="3"/>
  <c r="T450" i="3" l="1"/>
  <c r="D450" i="3" s="1"/>
  <c r="AH450" i="3" l="1"/>
  <c r="G450" i="3"/>
  <c r="E450" i="3"/>
  <c r="H450" i="3" s="1"/>
  <c r="AG450" i="3"/>
  <c r="F450" i="3" l="1"/>
  <c r="I450" i="3"/>
  <c r="J450" i="3"/>
  <c r="M450" i="3"/>
  <c r="N450" i="3" s="1"/>
  <c r="K450" i="3"/>
  <c r="AE450" i="3" s="1"/>
  <c r="V450" i="3" l="1"/>
  <c r="W450" i="3" s="1"/>
  <c r="A451" i="3"/>
  <c r="B451" i="3" s="1"/>
  <c r="L450" i="3"/>
  <c r="U450" i="3" l="1"/>
  <c r="Y449" i="3"/>
  <c r="P451" i="3"/>
  <c r="Q451" i="3" s="1"/>
  <c r="R451" i="3" s="1"/>
  <c r="S451" i="3" s="1"/>
  <c r="Z451" i="3"/>
  <c r="AD451" i="3"/>
  <c r="AA451" i="3"/>
  <c r="AC451" i="3"/>
  <c r="T451" i="3" l="1"/>
  <c r="AG451" i="3" s="1"/>
  <c r="E451" i="3" l="1"/>
  <c r="H451" i="3" s="1"/>
  <c r="K451" i="3" s="1"/>
  <c r="AE451" i="3" s="1"/>
  <c r="AH451" i="3"/>
  <c r="D451" i="3"/>
  <c r="V451" i="3" l="1"/>
  <c r="A452" i="3"/>
  <c r="B452" i="3" s="1"/>
  <c r="F451" i="3"/>
  <c r="G451" i="3"/>
  <c r="I451" i="3" l="1"/>
  <c r="W451" i="3" s="1"/>
  <c r="J451" i="3"/>
  <c r="M451" i="3"/>
  <c r="N451" i="3" s="1"/>
  <c r="AA452" i="3"/>
  <c r="P452" i="3"/>
  <c r="Q452" i="3" s="1"/>
  <c r="R452" i="3" s="1"/>
  <c r="S452" i="3" s="1"/>
  <c r="AC452" i="3"/>
  <c r="Z452" i="3"/>
  <c r="AD452" i="3"/>
  <c r="T452" i="3" l="1"/>
  <c r="L451" i="3"/>
  <c r="U451" i="3" l="1"/>
  <c r="D452" i="3" s="1"/>
  <c r="AH452" i="3"/>
  <c r="AG452" i="3"/>
  <c r="Y450" i="3"/>
  <c r="E452" i="3" l="1"/>
  <c r="H452" i="3" s="1"/>
  <c r="K452" i="3" s="1"/>
  <c r="AE452" i="3" s="1"/>
  <c r="G452" i="3"/>
  <c r="F452" i="3" l="1"/>
  <c r="I452" i="3"/>
  <c r="J452" i="3"/>
  <c r="M452" i="3"/>
  <c r="N452" i="3" s="1"/>
  <c r="V452" i="3"/>
  <c r="A453" i="3"/>
  <c r="B453" i="3" s="1"/>
  <c r="W452" i="3" l="1"/>
  <c r="L452" i="3"/>
  <c r="AA453" i="3"/>
  <c r="P453" i="3"/>
  <c r="Q453" i="3" s="1"/>
  <c r="R453" i="3" s="1"/>
  <c r="S453" i="3" s="1"/>
  <c r="AC453" i="3"/>
  <c r="AD453" i="3"/>
  <c r="Z453" i="3"/>
  <c r="U452" i="3" l="1"/>
  <c r="Y451" i="3"/>
  <c r="T453" i="3"/>
  <c r="AH453" i="3" s="1"/>
  <c r="AG453" i="3" l="1"/>
  <c r="E453" i="3"/>
  <c r="H453" i="3" s="1"/>
  <c r="D453" i="3"/>
  <c r="K453" i="3" l="1"/>
  <c r="AE453" i="3" s="1"/>
  <c r="F453" i="3"/>
  <c r="G453" i="3"/>
  <c r="I453" i="3" l="1"/>
  <c r="J453" i="3"/>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D455" i="3"/>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M455" i="3"/>
  <c r="N455" i="3" s="1"/>
  <c r="V455" i="3"/>
  <c r="A456" i="3"/>
  <c r="B456" i="3" s="1"/>
  <c r="W455" i="3" l="1"/>
  <c r="L455" i="3"/>
  <c r="AC456" i="3"/>
  <c r="P456" i="3"/>
  <c r="Q456" i="3" s="1"/>
  <c r="R456" i="3" s="1"/>
  <c r="S456" i="3" s="1"/>
  <c r="AD456" i="3"/>
  <c r="Z456" i="3"/>
  <c r="AA456" i="3"/>
  <c r="U455" i="3" l="1"/>
  <c r="Y454" i="3"/>
  <c r="T456" i="3"/>
  <c r="AG456" i="3" s="1"/>
  <c r="D456" i="3" l="1"/>
  <c r="G456" i="3" s="1"/>
  <c r="AH456" i="3"/>
  <c r="E456" i="3"/>
  <c r="H456" i="3" s="1"/>
  <c r="I456" i="3" l="1"/>
  <c r="J456" i="3"/>
  <c r="M456" i="3"/>
  <c r="N456" i="3" s="1"/>
  <c r="K456" i="3"/>
  <c r="AE456" i="3" s="1"/>
  <c r="F456" i="3"/>
  <c r="V456" i="3" l="1"/>
  <c r="W456" i="3" s="1"/>
  <c r="A457" i="3"/>
  <c r="B457" i="3" s="1"/>
  <c r="L456" i="3"/>
  <c r="Z457" i="3" l="1"/>
  <c r="AC457" i="3"/>
  <c r="P457" i="3"/>
  <c r="Q457" i="3" s="1"/>
  <c r="R457" i="3" s="1"/>
  <c r="S457" i="3" s="1"/>
  <c r="AA457" i="3"/>
  <c r="U456" i="3"/>
  <c r="Y455" i="3"/>
  <c r="T457" i="3" l="1"/>
  <c r="D457" i="3" l="1"/>
  <c r="AH457" i="3"/>
  <c r="E457" i="3"/>
  <c r="H457" i="3" s="1"/>
  <c r="AG457" i="3"/>
  <c r="F457" i="3" l="1"/>
  <c r="G457" i="3"/>
  <c r="K457" i="3"/>
  <c r="AE457" i="3" s="1"/>
  <c r="I457" i="3" l="1"/>
  <c r="J457" i="3"/>
  <c r="AD457" i="3" s="1"/>
  <c r="M457" i="3"/>
  <c r="N457" i="3" s="1"/>
  <c r="V457" i="3"/>
  <c r="A458" i="3"/>
  <c r="B458" i="3" s="1"/>
  <c r="L457" i="3" l="1"/>
  <c r="W457" i="3"/>
  <c r="P458" i="3"/>
  <c r="Q458" i="3" s="1"/>
  <c r="R458" i="3" s="1"/>
  <c r="S458" i="3" s="1"/>
  <c r="AC458" i="3"/>
  <c r="Z458" i="3"/>
  <c r="AA458" i="3"/>
  <c r="U457" i="3" l="1"/>
  <c r="Y456" i="3"/>
  <c r="T458" i="3"/>
  <c r="AH458" i="3" s="1"/>
  <c r="AG458" i="3" l="1"/>
  <c r="E458" i="3"/>
  <c r="H458" i="3" s="1"/>
  <c r="D458" i="3"/>
  <c r="K458" i="3" l="1"/>
  <c r="AE458" i="3" s="1"/>
  <c r="F458" i="3"/>
  <c r="G458" i="3"/>
  <c r="V458" i="3" l="1"/>
  <c r="A459" i="3"/>
  <c r="B459" i="3" s="1"/>
  <c r="I458" i="3"/>
  <c r="J458" i="3"/>
  <c r="AD458" i="3" s="1"/>
  <c r="M458" i="3"/>
  <c r="N458" i="3" s="1"/>
  <c r="W458" i="3" l="1"/>
  <c r="L458" i="3"/>
  <c r="Z459" i="3"/>
  <c r="P459" i="3"/>
  <c r="Q459" i="3" s="1"/>
  <c r="R459" i="3" s="1"/>
  <c r="S459" i="3" s="1"/>
  <c r="AA459" i="3"/>
  <c r="AD459" i="3"/>
  <c r="AC459" i="3"/>
  <c r="T459" i="3" l="1"/>
  <c r="AH459" i="3" s="1"/>
  <c r="U458" i="3"/>
  <c r="Y457" i="3"/>
  <c r="AG459" i="3" l="1"/>
  <c r="D459" i="3"/>
  <c r="E459" i="3"/>
  <c r="H459" i="3" s="1"/>
  <c r="K459" i="3" l="1"/>
  <c r="AE459" i="3" s="1"/>
  <c r="F459" i="3"/>
  <c r="G459" i="3"/>
  <c r="I459" i="3" l="1"/>
  <c r="J459" i="3"/>
  <c r="M459" i="3"/>
  <c r="N459" i="3" s="1"/>
  <c r="V459" i="3"/>
  <c r="A460" i="3"/>
  <c r="B460" i="3" s="1"/>
  <c r="W459" i="3" l="1"/>
  <c r="L459" i="3"/>
  <c r="P460" i="3"/>
  <c r="Q460" i="3" s="1"/>
  <c r="R460" i="3" s="1"/>
  <c r="S460" i="3" s="1"/>
  <c r="AD460" i="3"/>
  <c r="Z460" i="3"/>
  <c r="AA460" i="3"/>
  <c r="AC460" i="3"/>
  <c r="U459" i="3" l="1"/>
  <c r="Y458" i="3"/>
  <c r="T460" i="3"/>
  <c r="D460" i="3" l="1"/>
  <c r="G460" i="3" s="1"/>
  <c r="AH460" i="3"/>
  <c r="E460" i="3"/>
  <c r="H460" i="3" s="1"/>
  <c r="AG460" i="3"/>
  <c r="F460" i="3" l="1"/>
  <c r="I460" i="3"/>
  <c r="J460" i="3"/>
  <c r="M460" i="3"/>
  <c r="N460" i="3" s="1"/>
  <c r="K460" i="3"/>
  <c r="AE460" i="3" s="1"/>
  <c r="V460" i="3" l="1"/>
  <c r="W460" i="3" s="1"/>
  <c r="A461" i="3"/>
  <c r="B461" i="3" s="1"/>
  <c r="L460" i="3"/>
  <c r="U460" i="3" l="1"/>
  <c r="Y459" i="3"/>
  <c r="AC461" i="3"/>
  <c r="Z461" i="3"/>
  <c r="P461" i="3"/>
  <c r="Q461" i="3" s="1"/>
  <c r="R461" i="3" s="1"/>
  <c r="S461" i="3" s="1"/>
  <c r="AA461" i="3"/>
  <c r="AD461" i="3"/>
  <c r="T461" i="3" l="1"/>
  <c r="D461" i="3" s="1"/>
  <c r="AG461" i="3" l="1"/>
  <c r="G461" i="3"/>
  <c r="AH461" i="3"/>
  <c r="E461" i="3"/>
  <c r="H461" i="3" s="1"/>
  <c r="F461" i="3" l="1"/>
  <c r="I461" i="3"/>
  <c r="J461" i="3"/>
  <c r="M461" i="3"/>
  <c r="N461" i="3" s="1"/>
  <c r="K461" i="3"/>
  <c r="AE461" i="3" s="1"/>
  <c r="V461" i="3" l="1"/>
  <c r="W461" i="3" s="1"/>
  <c r="A462" i="3"/>
  <c r="B462" i="3" s="1"/>
  <c r="L461" i="3"/>
  <c r="U461" i="3" l="1"/>
  <c r="Y460" i="3"/>
  <c r="Z462" i="3"/>
  <c r="P462" i="3"/>
  <c r="Q462" i="3" s="1"/>
  <c r="R462" i="3" s="1"/>
  <c r="S462" i="3" s="1"/>
  <c r="AD462" i="3"/>
  <c r="AA462" i="3"/>
  <c r="AC462" i="3"/>
  <c r="T462" i="3" l="1"/>
  <c r="E462" i="3" s="1"/>
  <c r="H462" i="3" s="1"/>
  <c r="AG462" i="3" l="1"/>
  <c r="AH462" i="3"/>
  <c r="D462" i="3"/>
  <c r="G462" i="3" s="1"/>
  <c r="K462" i="3"/>
  <c r="AE462" i="3" s="1"/>
  <c r="F462" i="3" l="1"/>
  <c r="V462" i="3"/>
  <c r="A463" i="3"/>
  <c r="B463" i="3" s="1"/>
  <c r="I462" i="3"/>
  <c r="J462" i="3"/>
  <c r="M462" i="3"/>
  <c r="N462" i="3" s="1"/>
  <c r="W462" i="3" l="1"/>
  <c r="L462" i="3"/>
  <c r="P463" i="3"/>
  <c r="Q463" i="3" s="1"/>
  <c r="R463" i="3" s="1"/>
  <c r="S463" i="3" s="1"/>
  <c r="AC463" i="3"/>
  <c r="Z463" i="3"/>
  <c r="AA463" i="3"/>
  <c r="AD463" i="3"/>
  <c r="U462" i="3" l="1"/>
  <c r="Y461" i="3"/>
  <c r="T463" i="3"/>
  <c r="AH463" i="3" s="1"/>
  <c r="AG463" i="3" l="1"/>
  <c r="D463" i="3"/>
  <c r="E463" i="3"/>
  <c r="H463" i="3" s="1"/>
  <c r="F463" i="3" l="1"/>
  <c r="G463" i="3"/>
  <c r="K463" i="3"/>
  <c r="AE463" i="3" s="1"/>
  <c r="V463" i="3" l="1"/>
  <c r="A464" i="3"/>
  <c r="B464" i="3" s="1"/>
  <c r="I463" i="3"/>
  <c r="J463" i="3"/>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T465" i="3" l="1"/>
  <c r="AH465" i="3" s="1"/>
  <c r="U464" i="3"/>
  <c r="Y463" i="3"/>
  <c r="D465" i="3" l="1"/>
  <c r="G465" i="3" s="1"/>
  <c r="E465" i="3"/>
  <c r="H465" i="3" s="1"/>
  <c r="AG465" i="3"/>
  <c r="F465" i="3" l="1"/>
  <c r="I465" i="3"/>
  <c r="J465" i="3"/>
  <c r="AD465" i="3" s="1"/>
  <c r="M465" i="3"/>
  <c r="N465" i="3" s="1"/>
  <c r="K465" i="3"/>
  <c r="AE465" i="3" s="1"/>
  <c r="V465" i="3" l="1"/>
  <c r="W465" i="3" s="1"/>
  <c r="A466" i="3"/>
  <c r="B466" i="3" s="1"/>
  <c r="L465" i="3"/>
  <c r="U465" i="3" l="1"/>
  <c r="Y464" i="3"/>
  <c r="AA466" i="3"/>
  <c r="AC466" i="3"/>
  <c r="Z466" i="3"/>
  <c r="P466" i="3"/>
  <c r="Q466" i="3" s="1"/>
  <c r="R466" i="3" s="1"/>
  <c r="S466" i="3" s="1"/>
  <c r="T466" i="3" l="1"/>
  <c r="AH466" i="3" s="1"/>
  <c r="AG466" i="3" l="1"/>
  <c r="E466" i="3"/>
  <c r="H466" i="3" s="1"/>
  <c r="K466" i="3" s="1"/>
  <c r="AE466" i="3" s="1"/>
  <c r="D466" i="3"/>
  <c r="G466" i="3" s="1"/>
  <c r="F466" i="3" l="1"/>
  <c r="I466" i="3"/>
  <c r="J466" i="3"/>
  <c r="AD466" i="3" s="1"/>
  <c r="M466" i="3"/>
  <c r="N466" i="3" s="1"/>
  <c r="V466" i="3"/>
  <c r="A467" i="3"/>
  <c r="B467" i="3" s="1"/>
  <c r="W466" i="3" l="1"/>
  <c r="L466" i="3"/>
  <c r="P467" i="3"/>
  <c r="Q467" i="3" s="1"/>
  <c r="R467" i="3" s="1"/>
  <c r="S467" i="3" s="1"/>
  <c r="AA467" i="3"/>
  <c r="Z467" i="3"/>
  <c r="AC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I467" i="3"/>
  <c r="W467" i="3" s="1"/>
  <c r="J467" i="3"/>
  <c r="AD467" i="3" s="1"/>
  <c r="M467" i="3"/>
  <c r="N467" i="3" s="1"/>
  <c r="L467" i="3" l="1"/>
  <c r="T468" i="3"/>
  <c r="U467" i="3" l="1"/>
  <c r="D468" i="3" s="1"/>
  <c r="AH468" i="3"/>
  <c r="AG468" i="3"/>
  <c r="Y466" i="3"/>
  <c r="E468" i="3" l="1"/>
  <c r="H468" i="3" s="1"/>
  <c r="K468" i="3" s="1"/>
  <c r="AE468" i="3" s="1"/>
  <c r="G468" i="3"/>
  <c r="F468" i="3" l="1"/>
  <c r="I468" i="3"/>
  <c r="J468" i="3"/>
  <c r="AD468" i="3" s="1"/>
  <c r="M468" i="3"/>
  <c r="N468" i="3" s="1"/>
  <c r="V468" i="3"/>
  <c r="A469" i="3"/>
  <c r="B469" i="3" s="1"/>
  <c r="W468" i="3" l="1"/>
  <c r="L468" i="3"/>
  <c r="AA469" i="3"/>
  <c r="P469" i="3"/>
  <c r="Q469" i="3" s="1"/>
  <c r="R469" i="3" s="1"/>
  <c r="S469" i="3" s="1"/>
  <c r="Z469" i="3"/>
  <c r="AC469" i="3"/>
  <c r="U468" i="3" l="1"/>
  <c r="Y467" i="3"/>
  <c r="T469" i="3"/>
  <c r="AG469" i="3" s="1"/>
  <c r="D469" i="3" l="1"/>
  <c r="G469" i="3" s="1"/>
  <c r="AH469" i="3"/>
  <c r="E469" i="3"/>
  <c r="H469" i="3" s="1"/>
  <c r="K469" i="3" s="1"/>
  <c r="AE469" i="3" s="1"/>
  <c r="F469" i="3" l="1"/>
  <c r="I469" i="3"/>
  <c r="J469" i="3"/>
  <c r="AD469" i="3" s="1"/>
  <c r="M469" i="3"/>
  <c r="N469" i="3" s="1"/>
  <c r="V469" i="3"/>
  <c r="A470" i="3"/>
  <c r="B470" i="3" s="1"/>
  <c r="W469" i="3" l="1"/>
  <c r="L469" i="3"/>
  <c r="AC470" i="3"/>
  <c r="P470" i="3"/>
  <c r="Q470" i="3" s="1"/>
  <c r="R470" i="3" s="1"/>
  <c r="S470" i="3" s="1"/>
  <c r="AA470" i="3"/>
  <c r="Z470" i="3"/>
  <c r="U469" i="3" l="1"/>
  <c r="Y468" i="3"/>
  <c r="T470" i="3"/>
  <c r="D470" i="3" l="1"/>
  <c r="G470" i="3" s="1"/>
  <c r="AH470" i="3"/>
  <c r="AG470" i="3"/>
  <c r="E470" i="3"/>
  <c r="H470" i="3" s="1"/>
  <c r="K470" i="3" l="1"/>
  <c r="AE470" i="3" s="1"/>
  <c r="F470" i="3"/>
  <c r="I470" i="3"/>
  <c r="J470" i="3"/>
  <c r="AD470" i="3" s="1"/>
  <c r="M470" i="3"/>
  <c r="N470" i="3" s="1"/>
  <c r="V470" i="3" l="1"/>
  <c r="W470" i="3" s="1"/>
  <c r="A471" i="3"/>
  <c r="B471" i="3" s="1"/>
  <c r="L470" i="3"/>
  <c r="U470" i="3" l="1"/>
  <c r="Y469" i="3"/>
  <c r="Z471" i="3"/>
  <c r="AA471" i="3"/>
  <c r="AC471" i="3"/>
  <c r="P471" i="3"/>
  <c r="Q471" i="3" s="1"/>
  <c r="R471" i="3" s="1"/>
  <c r="S471" i="3" s="1"/>
  <c r="T471" i="3" l="1"/>
  <c r="AH471" i="3" s="1"/>
  <c r="AG471" i="3" l="1"/>
  <c r="E471" i="3"/>
  <c r="H471" i="3" s="1"/>
  <c r="D471" i="3"/>
  <c r="F471" i="3" l="1"/>
  <c r="G471" i="3"/>
  <c r="K471" i="3"/>
  <c r="AE471" i="3" s="1"/>
  <c r="V471" i="3" l="1"/>
  <c r="A472" i="3"/>
  <c r="B472" i="3" s="1"/>
  <c r="I471" i="3"/>
  <c r="J471" i="3"/>
  <c r="AD471" i="3" s="1"/>
  <c r="M471" i="3"/>
  <c r="N471" i="3" s="1"/>
  <c r="W471" i="3" l="1"/>
  <c r="L471" i="3"/>
  <c r="Z472" i="3"/>
  <c r="AA472" i="3"/>
  <c r="P472" i="3"/>
  <c r="Q472" i="3" s="1"/>
  <c r="R472" i="3" s="1"/>
  <c r="S472" i="3" s="1"/>
  <c r="AC472" i="3"/>
  <c r="U471" i="3" l="1"/>
  <c r="Y470" i="3"/>
  <c r="T472" i="3"/>
  <c r="E472" i="3" l="1"/>
  <c r="H472" i="3" s="1"/>
  <c r="K472" i="3" s="1"/>
  <c r="AE472" i="3" s="1"/>
  <c r="AG472" i="3"/>
  <c r="AH472" i="3"/>
  <c r="D472" i="3"/>
  <c r="V472" i="3" l="1"/>
  <c r="A473" i="3"/>
  <c r="B473" i="3" s="1"/>
  <c r="F472" i="3"/>
  <c r="G472" i="3"/>
  <c r="I472" i="3" l="1"/>
  <c r="W472" i="3" s="1"/>
  <c r="J472" i="3"/>
  <c r="AD472" i="3" s="1"/>
  <c r="M472" i="3"/>
  <c r="N472" i="3" s="1"/>
  <c r="AC473" i="3"/>
  <c r="P473" i="3"/>
  <c r="Q473" i="3" s="1"/>
  <c r="R473" i="3" s="1"/>
  <c r="S473" i="3" s="1"/>
  <c r="Z473" i="3"/>
  <c r="AA473" i="3"/>
  <c r="L472" i="3" l="1"/>
  <c r="T473" i="3"/>
  <c r="U472" i="3" l="1"/>
  <c r="D473" i="3" s="1"/>
  <c r="AH473" i="3"/>
  <c r="AG473" i="3"/>
  <c r="Y471" i="3"/>
  <c r="G473" i="3" l="1"/>
  <c r="E473" i="3"/>
  <c r="H473" i="3" s="1"/>
  <c r="F473" i="3" l="1"/>
  <c r="I473" i="3"/>
  <c r="J473" i="3"/>
  <c r="AD473" i="3" s="1"/>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A475" i="3"/>
  <c r="T475" i="3" l="1"/>
  <c r="AG475" i="3" s="1"/>
  <c r="AH475" i="3" l="1"/>
  <c r="E475" i="3"/>
  <c r="H475" i="3" s="1"/>
  <c r="K475" i="3" s="1"/>
  <c r="AE475" i="3" s="1"/>
  <c r="D475" i="3"/>
  <c r="F475" i="3" l="1"/>
  <c r="G475" i="3"/>
  <c r="M475" i="3" s="1"/>
  <c r="N475" i="3" s="1"/>
  <c r="V475" i="3"/>
  <c r="A476" i="3"/>
  <c r="B476" i="3" s="1"/>
  <c r="I475" i="3" l="1"/>
  <c r="W475" i="3" s="1"/>
  <c r="J475" i="3"/>
  <c r="P476" i="3"/>
  <c r="Q476" i="3" s="1"/>
  <c r="R476" i="3" s="1"/>
  <c r="S476" i="3" s="1"/>
  <c r="AA476" i="3"/>
  <c r="Z476" i="3"/>
  <c r="AC476" i="3"/>
  <c r="L475" i="3" l="1"/>
  <c r="U475" i="3" s="1"/>
  <c r="AD475" i="3"/>
  <c r="Y474" i="3"/>
  <c r="T476" i="3"/>
  <c r="AG476" i="3" l="1"/>
  <c r="D476" i="3"/>
  <c r="G476" i="3" s="1"/>
  <c r="E476" i="3"/>
  <c r="H476" i="3" s="1"/>
  <c r="K476" i="3" s="1"/>
  <c r="AE476" i="3" s="1"/>
  <c r="AH476" i="3"/>
  <c r="F476" i="3" l="1"/>
  <c r="V476" i="3"/>
  <c r="A477" i="3"/>
  <c r="B477" i="3" s="1"/>
  <c r="I476" i="3"/>
  <c r="J476" i="3"/>
  <c r="AD476" i="3" s="1"/>
  <c r="M476" i="3"/>
  <c r="N476" i="3" s="1"/>
  <c r="W476" i="3" l="1"/>
  <c r="L476" i="3"/>
  <c r="AA477" i="3"/>
  <c r="P477" i="3"/>
  <c r="Q477" i="3" s="1"/>
  <c r="R477" i="3" s="1"/>
  <c r="S477" i="3" s="1"/>
  <c r="AC477" i="3"/>
  <c r="Z477" i="3"/>
  <c r="U476" i="3" l="1"/>
  <c r="Y475" i="3"/>
  <c r="T477" i="3"/>
  <c r="D477" i="3" l="1"/>
  <c r="G477" i="3" s="1"/>
  <c r="AG477" i="3"/>
  <c r="E477" i="3"/>
  <c r="H477" i="3" s="1"/>
  <c r="K477" i="3" s="1"/>
  <c r="AE477" i="3" s="1"/>
  <c r="AH477" i="3"/>
  <c r="F477" i="3" l="1"/>
  <c r="V477" i="3"/>
  <c r="A478" i="3"/>
  <c r="B478" i="3" s="1"/>
  <c r="I477" i="3"/>
  <c r="J477" i="3"/>
  <c r="AD477" i="3" s="1"/>
  <c r="M477" i="3"/>
  <c r="N477" i="3" s="1"/>
  <c r="W477" i="3" l="1"/>
  <c r="L477" i="3"/>
  <c r="AA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AD478" i="3" s="1"/>
  <c r="M478" i="3"/>
  <c r="N478" i="3" s="1"/>
  <c r="P479" i="3"/>
  <c r="Q479" i="3" s="1"/>
  <c r="R479" i="3" s="1"/>
  <c r="S479" i="3" s="1"/>
  <c r="AC479" i="3"/>
  <c r="AA479" i="3"/>
  <c r="Z479" i="3"/>
  <c r="T479" i="3" l="1"/>
  <c r="L478" i="3"/>
  <c r="U478" i="3" l="1"/>
  <c r="E479" i="3" s="1"/>
  <c r="H479" i="3" s="1"/>
  <c r="AH479" i="3"/>
  <c r="AG479" i="3"/>
  <c r="Y477" i="3"/>
  <c r="D479" i="3" l="1"/>
  <c r="G479" i="3" s="1"/>
  <c r="K479" i="3"/>
  <c r="AE479" i="3" s="1"/>
  <c r="F479" i="3" l="1"/>
  <c r="I479" i="3"/>
  <c r="J479" i="3"/>
  <c r="AD479" i="3" s="1"/>
  <c r="M479" i="3"/>
  <c r="N479" i="3" s="1"/>
  <c r="V479" i="3"/>
  <c r="A480" i="3"/>
  <c r="B480" i="3" s="1"/>
  <c r="W479" i="3" l="1"/>
  <c r="AA480" i="3"/>
  <c r="P480" i="3"/>
  <c r="Q480" i="3" s="1"/>
  <c r="R480" i="3" s="1"/>
  <c r="S480" i="3" s="1"/>
  <c r="AC480" i="3"/>
  <c r="Z480" i="3"/>
  <c r="L479" i="3"/>
  <c r="U479" i="3" l="1"/>
  <c r="Y478" i="3"/>
  <c r="T480" i="3"/>
  <c r="E480" i="3" l="1"/>
  <c r="H480" i="3" s="1"/>
  <c r="K480" i="3" s="1"/>
  <c r="AE480" i="3" s="1"/>
  <c r="AH480" i="3"/>
  <c r="AG480" i="3"/>
  <c r="D480" i="3"/>
  <c r="V480" i="3" l="1"/>
  <c r="A481" i="3"/>
  <c r="B481" i="3" s="1"/>
  <c r="F480" i="3"/>
  <c r="G480" i="3"/>
  <c r="I480" i="3" l="1"/>
  <c r="W480" i="3" s="1"/>
  <c r="J480" i="3"/>
  <c r="AD480" i="3" s="1"/>
  <c r="M480" i="3"/>
  <c r="N480" i="3" s="1"/>
  <c r="P481" i="3"/>
  <c r="Q481" i="3" s="1"/>
  <c r="R481" i="3" s="1"/>
  <c r="S481" i="3" s="1"/>
  <c r="AC481" i="3"/>
  <c r="AA481" i="3"/>
  <c r="Z481" i="3"/>
  <c r="T481" i="3" l="1"/>
  <c r="L480" i="3"/>
  <c r="U480" i="3" l="1"/>
  <c r="D481" i="3" s="1"/>
  <c r="AG481" i="3"/>
  <c r="AH481" i="3"/>
  <c r="Y479" i="3"/>
  <c r="G481" i="3" l="1"/>
  <c r="E481" i="3"/>
  <c r="H481" i="3" s="1"/>
  <c r="K481" i="3" l="1"/>
  <c r="AE481" i="3" s="1"/>
  <c r="I481" i="3"/>
  <c r="J481" i="3"/>
  <c r="AD481" i="3" s="1"/>
  <c r="M481" i="3"/>
  <c r="N481" i="3" s="1"/>
  <c r="F481" i="3"/>
  <c r="V481" i="3" l="1"/>
  <c r="W481" i="3" s="1"/>
  <c r="A482" i="3"/>
  <c r="B482" i="3" s="1"/>
  <c r="L481" i="3"/>
  <c r="U481" i="3" l="1"/>
  <c r="Y480" i="3"/>
  <c r="AC482" i="3"/>
  <c r="AA482" i="3"/>
  <c r="P482" i="3"/>
  <c r="Q482" i="3" s="1"/>
  <c r="R482" i="3" s="1"/>
  <c r="S482" i="3" s="1"/>
  <c r="Z482" i="3"/>
  <c r="T482" i="3" l="1"/>
  <c r="D482" i="3" s="1"/>
  <c r="AG482" i="3" l="1"/>
  <c r="G482" i="3"/>
  <c r="AH482" i="3"/>
  <c r="E482" i="3"/>
  <c r="H482" i="3" s="1"/>
  <c r="F482" i="3" l="1"/>
  <c r="I482" i="3"/>
  <c r="J482" i="3"/>
  <c r="AD482" i="3" s="1"/>
  <c r="M482" i="3"/>
  <c r="N482" i="3" s="1"/>
  <c r="K482" i="3"/>
  <c r="AE482" i="3" s="1"/>
  <c r="V482" i="3" l="1"/>
  <c r="W482" i="3" s="1"/>
  <c r="A483" i="3"/>
  <c r="B483" i="3" s="1"/>
  <c r="L482" i="3"/>
  <c r="U482" i="3" l="1"/>
  <c r="Y481" i="3"/>
  <c r="P483" i="3"/>
  <c r="Q483" i="3" s="1"/>
  <c r="R483" i="3" s="1"/>
  <c r="S483" i="3" s="1"/>
  <c r="Z483" i="3"/>
  <c r="AC483" i="3"/>
  <c r="AA483" i="3"/>
  <c r="T483" i="3" l="1"/>
  <c r="E483" i="3" s="1"/>
  <c r="H483" i="3" s="1"/>
  <c r="AG483" i="3" l="1"/>
  <c r="AH483" i="3"/>
  <c r="D483" i="3"/>
  <c r="G483" i="3" s="1"/>
  <c r="K483" i="3"/>
  <c r="AE483" i="3" s="1"/>
  <c r="F483" i="3" l="1"/>
  <c r="I483" i="3"/>
  <c r="J483" i="3"/>
  <c r="AD483" i="3" s="1"/>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A485" i="3"/>
  <c r="AC485" i="3"/>
  <c r="Z485" i="3"/>
  <c r="U484" i="3" l="1"/>
  <c r="Y483" i="3"/>
  <c r="T485" i="3"/>
  <c r="D485" i="3" l="1"/>
  <c r="G485" i="3" s="1"/>
  <c r="AG485" i="3"/>
  <c r="AH485" i="3"/>
  <c r="E485" i="3"/>
  <c r="H485" i="3" s="1"/>
  <c r="K485" i="3" s="1"/>
  <c r="AE485" i="3" s="1"/>
  <c r="F485" i="3" l="1"/>
  <c r="I485" i="3"/>
  <c r="J485" i="3"/>
  <c r="AD485" i="3" s="1"/>
  <c r="M485" i="3"/>
  <c r="N485" i="3" s="1"/>
  <c r="V485" i="3"/>
  <c r="A486" i="3"/>
  <c r="B486" i="3" s="1"/>
  <c r="W485" i="3" l="1"/>
  <c r="L485" i="3"/>
  <c r="AA486" i="3"/>
  <c r="P486" i="3"/>
  <c r="Q486" i="3" s="1"/>
  <c r="R486" i="3" s="1"/>
  <c r="S486" i="3" s="1"/>
  <c r="AC486" i="3"/>
  <c r="Z486" i="3"/>
  <c r="T486" i="3" l="1"/>
  <c r="AH486" i="3" s="1"/>
  <c r="U485" i="3"/>
  <c r="Y484" i="3"/>
  <c r="D486" i="3" l="1"/>
  <c r="G486" i="3" s="1"/>
  <c r="AG486" i="3"/>
  <c r="E486" i="3"/>
  <c r="H486" i="3" s="1"/>
  <c r="K486" i="3" s="1"/>
  <c r="AE486" i="3" s="1"/>
  <c r="F486" i="3" l="1"/>
  <c r="V486" i="3"/>
  <c r="A487" i="3"/>
  <c r="B487" i="3" s="1"/>
  <c r="I486" i="3"/>
  <c r="J486" i="3"/>
  <c r="AD486" i="3" s="1"/>
  <c r="M486" i="3"/>
  <c r="N486" i="3" s="1"/>
  <c r="W486" i="3" l="1"/>
  <c r="L486" i="3"/>
  <c r="AA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AD487" i="3" s="1"/>
  <c r="M487" i="3"/>
  <c r="N487" i="3" s="1"/>
  <c r="AA488" i="3"/>
  <c r="Z488" i="3"/>
  <c r="P488" i="3"/>
  <c r="Q488" i="3" s="1"/>
  <c r="R488" i="3" s="1"/>
  <c r="S488" i="3" s="1"/>
  <c r="AC488" i="3"/>
  <c r="L487" i="3" l="1"/>
  <c r="T488" i="3"/>
  <c r="U487" i="3" l="1"/>
  <c r="D488" i="3" s="1"/>
  <c r="AG488" i="3"/>
  <c r="AH488" i="3"/>
  <c r="Y486" i="3"/>
  <c r="E488" i="3" l="1"/>
  <c r="H488" i="3" s="1"/>
  <c r="K488" i="3" s="1"/>
  <c r="AE488" i="3" s="1"/>
  <c r="G488" i="3"/>
  <c r="F488" i="3" l="1"/>
  <c r="I488" i="3"/>
  <c r="J488" i="3"/>
  <c r="AD488" i="3" s="1"/>
  <c r="M488" i="3"/>
  <c r="N488" i="3" s="1"/>
  <c r="V488" i="3"/>
  <c r="A489" i="3"/>
  <c r="B489" i="3" s="1"/>
  <c r="W488" i="3" l="1"/>
  <c r="L488" i="3"/>
  <c r="P489" i="3"/>
  <c r="Q489" i="3" s="1"/>
  <c r="R489" i="3" s="1"/>
  <c r="S489" i="3" s="1"/>
  <c r="AC489" i="3"/>
  <c r="AA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Z490" i="3"/>
  <c r="AC490" i="3"/>
  <c r="P490" i="3"/>
  <c r="Q490" i="3" s="1"/>
  <c r="R490" i="3" s="1"/>
  <c r="S490" i="3" s="1"/>
  <c r="AA490" i="3"/>
  <c r="L489" i="3" l="1"/>
  <c r="AD489" i="3"/>
  <c r="T490" i="3"/>
  <c r="AH490" i="3" s="1"/>
  <c r="U489" i="3"/>
  <c r="Y488" i="3"/>
  <c r="E490" i="3" l="1"/>
  <c r="H490" i="3" s="1"/>
  <c r="K490" i="3" s="1"/>
  <c r="AE490" i="3" s="1"/>
  <c r="D490" i="3"/>
  <c r="AG490" i="3"/>
  <c r="V490" i="3" l="1"/>
  <c r="A491" i="3"/>
  <c r="B491" i="3" s="1"/>
  <c r="F490" i="3"/>
  <c r="G490" i="3"/>
  <c r="I490" i="3" l="1"/>
  <c r="W490" i="3" s="1"/>
  <c r="J490" i="3"/>
  <c r="AD490" i="3" s="1"/>
  <c r="M490" i="3"/>
  <c r="N490" i="3" s="1"/>
  <c r="P491" i="3"/>
  <c r="Q491" i="3" s="1"/>
  <c r="R491" i="3" s="1"/>
  <c r="S491" i="3" s="1"/>
  <c r="Z491" i="3"/>
  <c r="AC491" i="3"/>
  <c r="AA491" i="3"/>
  <c r="T491" i="3" l="1"/>
  <c r="L490" i="3"/>
  <c r="AH491" i="3" l="1"/>
  <c r="U490" i="3"/>
  <c r="D491" i="3" s="1"/>
  <c r="AG491" i="3"/>
  <c r="Y489" i="3"/>
  <c r="E491" i="3" l="1"/>
  <c r="H491" i="3" s="1"/>
  <c r="K491" i="3" s="1"/>
  <c r="AE491" i="3" s="1"/>
  <c r="G491" i="3"/>
  <c r="F491" i="3" l="1"/>
  <c r="I491" i="3"/>
  <c r="J491" i="3"/>
  <c r="AD491" i="3" s="1"/>
  <c r="M491" i="3"/>
  <c r="N491" i="3" s="1"/>
  <c r="V491" i="3"/>
  <c r="A492" i="3"/>
  <c r="B492" i="3" s="1"/>
  <c r="W491" i="3" l="1"/>
  <c r="L491" i="3"/>
  <c r="AC492" i="3"/>
  <c r="AA492" i="3"/>
  <c r="P492" i="3"/>
  <c r="Q492" i="3" s="1"/>
  <c r="R492" i="3" s="1"/>
  <c r="S492" i="3" s="1"/>
  <c r="Z492" i="3"/>
  <c r="T492" i="3" l="1"/>
  <c r="U491" i="3"/>
  <c r="Y490" i="3"/>
  <c r="D492" i="3" l="1"/>
  <c r="G492" i="3" s="1"/>
  <c r="AH492" i="3"/>
  <c r="AG492" i="3"/>
  <c r="E492" i="3"/>
  <c r="H492" i="3" s="1"/>
  <c r="F492" i="3" l="1"/>
  <c r="I492" i="3"/>
  <c r="J492" i="3"/>
  <c r="AD492" i="3" s="1"/>
  <c r="M492" i="3"/>
  <c r="N492" i="3" s="1"/>
  <c r="K492" i="3"/>
  <c r="AE492" i="3" s="1"/>
  <c r="L492" i="3" l="1"/>
  <c r="V492" i="3"/>
  <c r="W492" i="3" s="1"/>
  <c r="A493" i="3"/>
  <c r="B493" i="3" s="1"/>
  <c r="U492" i="3" l="1"/>
  <c r="Y491" i="3"/>
  <c r="P493" i="3"/>
  <c r="Q493" i="3" s="1"/>
  <c r="R493" i="3" s="1"/>
  <c r="S493" i="3" s="1"/>
  <c r="AC493" i="3"/>
  <c r="AA493" i="3"/>
  <c r="Z493" i="3"/>
  <c r="T493" i="3" l="1"/>
  <c r="AH493" i="3" s="1"/>
  <c r="AG493" i="3" l="1"/>
  <c r="E493" i="3"/>
  <c r="H493" i="3" s="1"/>
  <c r="K493" i="3" s="1"/>
  <c r="AE493" i="3" s="1"/>
  <c r="D493" i="3"/>
  <c r="F493" i="3" l="1"/>
  <c r="G493" i="3"/>
  <c r="J493" i="3" s="1"/>
  <c r="AD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AD495" i="3" s="1"/>
  <c r="M495" i="3"/>
  <c r="N495" i="3" s="1"/>
  <c r="W495" i="3" l="1"/>
  <c r="L495"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AD496" i="3" s="1"/>
  <c r="M496" i="3"/>
  <c r="N496" i="3" s="1"/>
  <c r="W496" i="3" l="1"/>
  <c r="L496" i="3"/>
  <c r="P497" i="3"/>
  <c r="Q497" i="3" s="1"/>
  <c r="R497" i="3" s="1"/>
  <c r="S497" i="3" s="1"/>
  <c r="AC497" i="3"/>
  <c r="AA497" i="3"/>
  <c r="Z497" i="3"/>
  <c r="U496" i="3" l="1"/>
  <c r="Y495" i="3"/>
  <c r="T497" i="3"/>
  <c r="AG497" i="3" s="1"/>
  <c r="E497" i="3" l="1"/>
  <c r="H497" i="3" s="1"/>
  <c r="D497" i="3"/>
  <c r="AH497" i="3"/>
  <c r="F497" i="3" l="1"/>
  <c r="G497" i="3"/>
  <c r="K497" i="3"/>
  <c r="AE497" i="3" s="1"/>
  <c r="I497" i="3" l="1"/>
  <c r="J497" i="3"/>
  <c r="AD497" i="3" s="1"/>
  <c r="M497" i="3"/>
  <c r="N497" i="3" s="1"/>
  <c r="V497" i="3"/>
  <c r="A498" i="3"/>
  <c r="B498" i="3" s="1"/>
  <c r="W497" i="3" l="1"/>
  <c r="L497" i="3"/>
  <c r="Z498" i="3"/>
  <c r="AC498" i="3"/>
  <c r="AA498" i="3"/>
  <c r="P498" i="3"/>
  <c r="Q498" i="3" s="1"/>
  <c r="R498" i="3" s="1"/>
  <c r="S498" i="3" s="1"/>
  <c r="U497" i="3" l="1"/>
  <c r="Y496" i="3"/>
  <c r="T498" i="3"/>
  <c r="AH498" i="3" s="1"/>
  <c r="AG498" i="3" l="1"/>
  <c r="D498" i="3"/>
  <c r="E498" i="3"/>
  <c r="H498" i="3" s="1"/>
  <c r="F498" i="3" l="1"/>
  <c r="G498" i="3"/>
  <c r="K498" i="3"/>
  <c r="AE498" i="3" s="1"/>
  <c r="I498" i="3" l="1"/>
  <c r="J498" i="3"/>
  <c r="AD498" i="3" s="1"/>
  <c r="M498" i="3"/>
  <c r="N498" i="3" s="1"/>
  <c r="V498" i="3"/>
  <c r="A499" i="3"/>
  <c r="B499" i="3" s="1"/>
  <c r="W498" i="3" l="1"/>
  <c r="L498" i="3"/>
  <c r="AC499" i="3"/>
  <c r="P499" i="3"/>
  <c r="Q499" i="3" s="1"/>
  <c r="R499" i="3" s="1"/>
  <c r="S499" i="3" s="1"/>
  <c r="AA499" i="3"/>
  <c r="Z499" i="3"/>
  <c r="T499" i="3" l="1"/>
  <c r="U498" i="3"/>
  <c r="Y497" i="3"/>
  <c r="D499" i="3" l="1"/>
  <c r="G499" i="3" s="1"/>
  <c r="AH499" i="3"/>
  <c r="E499" i="3"/>
  <c r="H499" i="3" s="1"/>
  <c r="AG499" i="3"/>
  <c r="F499" i="3" l="1"/>
  <c r="I499" i="3"/>
  <c r="J499" i="3"/>
  <c r="AD499" i="3" s="1"/>
  <c r="M499" i="3"/>
  <c r="N499" i="3" s="1"/>
  <c r="K499" i="3"/>
  <c r="AE499" i="3" s="1"/>
  <c r="V499" i="3" l="1"/>
  <c r="W499" i="3" s="1"/>
  <c r="A500" i="3"/>
  <c r="B500" i="3" s="1"/>
  <c r="L499" i="3"/>
  <c r="U499" i="3" l="1"/>
  <c r="Y498" i="3"/>
  <c r="AA500" i="3"/>
  <c r="AC500" i="3"/>
  <c r="P500" i="3"/>
  <c r="Q500" i="3" s="1"/>
  <c r="R500" i="3" s="1"/>
  <c r="S500" i="3" s="1"/>
  <c r="Z500" i="3"/>
  <c r="T500" i="3" l="1"/>
  <c r="AH500" i="3" s="1"/>
  <c r="D500" i="3" l="1"/>
  <c r="AG500" i="3"/>
  <c r="E500" i="3"/>
  <c r="H500" i="3" s="1"/>
  <c r="F500" i="3" l="1"/>
  <c r="G500" i="3"/>
  <c r="K500" i="3"/>
  <c r="AE500" i="3" s="1"/>
  <c r="I500" i="3" l="1"/>
  <c r="J500" i="3"/>
  <c r="AD500" i="3" s="1"/>
  <c r="M500" i="3"/>
  <c r="N500" i="3" s="1"/>
  <c r="V500" i="3"/>
  <c r="A501" i="3"/>
  <c r="B501" i="3" s="1"/>
  <c r="W500" i="3" l="1"/>
  <c r="L500" i="3"/>
  <c r="P501" i="3"/>
  <c r="Q501" i="3" s="1"/>
  <c r="R501" i="3" s="1"/>
  <c r="S501" i="3" s="1"/>
  <c r="AC501" i="3"/>
  <c r="Z501" i="3"/>
  <c r="AA501" i="3"/>
  <c r="U500" i="3" l="1"/>
  <c r="Y499" i="3"/>
  <c r="T501" i="3"/>
  <c r="D501" i="3" l="1"/>
  <c r="G501" i="3" s="1"/>
  <c r="E501" i="3"/>
  <c r="H501" i="3" s="1"/>
  <c r="K501" i="3" s="1"/>
  <c r="AE501" i="3" s="1"/>
  <c r="AG501" i="3"/>
  <c r="AH501" i="3"/>
  <c r="F501" i="3" l="1"/>
  <c r="I501" i="3"/>
  <c r="J501" i="3"/>
  <c r="AD501" i="3" s="1"/>
  <c r="M501" i="3"/>
  <c r="N501" i="3" s="1"/>
  <c r="V501" i="3"/>
  <c r="A502" i="3"/>
  <c r="B502" i="3" s="1"/>
  <c r="L501" i="3" l="1"/>
  <c r="W501" i="3"/>
  <c r="Z502" i="3"/>
  <c r="AA502" i="3"/>
  <c r="AC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AD502" i="3" s="1"/>
  <c r="M502" i="3"/>
  <c r="N502" i="3" s="1"/>
  <c r="AA503" i="3"/>
  <c r="P503" i="3"/>
  <c r="Q503" i="3" s="1"/>
  <c r="R503" i="3" s="1"/>
  <c r="S503" i="3" s="1"/>
  <c r="AC503" i="3"/>
  <c r="Z503" i="3"/>
  <c r="T503" i="3" l="1"/>
  <c r="L502" i="3"/>
  <c r="AG503" i="3" l="1"/>
  <c r="AH503" i="3"/>
  <c r="U502" i="3"/>
  <c r="E503" i="3" s="1"/>
  <c r="H503" i="3" s="1"/>
  <c r="Y501" i="3"/>
  <c r="D503" i="3" l="1"/>
  <c r="G503" i="3" s="1"/>
  <c r="K503" i="3"/>
  <c r="AE503" i="3" s="1"/>
  <c r="F503" i="3" l="1"/>
  <c r="V503" i="3"/>
  <c r="A504" i="3"/>
  <c r="B504" i="3" s="1"/>
  <c r="I503" i="3"/>
  <c r="J503" i="3"/>
  <c r="AD503" i="3" s="1"/>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D505" i="3"/>
  <c r="AA505" i="3"/>
  <c r="L504" i="3" l="1"/>
  <c r="Y503" i="3" s="1"/>
  <c r="AD504" i="3"/>
  <c r="T505" i="3"/>
  <c r="AH505" i="3" l="1"/>
  <c r="U504" i="3"/>
  <c r="D505" i="3" s="1"/>
  <c r="G505" i="3" s="1"/>
  <c r="AG505" i="3"/>
  <c r="E505" i="3" l="1"/>
  <c r="H505" i="3" s="1"/>
  <c r="K505" i="3" s="1"/>
  <c r="AE505" i="3" s="1"/>
  <c r="J505" i="3"/>
  <c r="I505" i="3" l="1"/>
  <c r="F505" i="3"/>
  <c r="V505" i="3"/>
  <c r="M505" i="3"/>
  <c r="N505" i="3" s="1"/>
  <c r="A506" i="3"/>
  <c r="B506" i="3" s="1"/>
  <c r="P506" i="3" s="1"/>
  <c r="Q506" i="3" s="1"/>
  <c r="R506" i="3" s="1"/>
  <c r="S506" i="3" s="1"/>
  <c r="L505" i="3"/>
  <c r="W505" i="3" l="1"/>
  <c r="AA506" i="3"/>
  <c r="AD506" i="3"/>
  <c r="AC506" i="3"/>
  <c r="Z506" i="3"/>
  <c r="U505" i="3"/>
  <c r="Y504" i="3"/>
  <c r="T506" i="3"/>
  <c r="AG506" i="3" l="1"/>
  <c r="D506" i="3"/>
  <c r="G506" i="3" s="1"/>
  <c r="AH506" i="3"/>
  <c r="E506" i="3"/>
  <c r="H506" i="3" s="1"/>
  <c r="K506" i="3" s="1"/>
  <c r="AE506" i="3" s="1"/>
  <c r="F506" i="3" l="1"/>
  <c r="I506" i="3"/>
  <c r="J506" i="3"/>
  <c r="M506" i="3"/>
  <c r="N506" i="3" s="1"/>
  <c r="V506" i="3"/>
  <c r="A507" i="3"/>
  <c r="B507" i="3" s="1"/>
  <c r="W506" i="3" l="1"/>
  <c r="L506" i="3"/>
  <c r="AC507" i="3"/>
  <c r="P507" i="3"/>
  <c r="Q507" i="3" s="1"/>
  <c r="R507" i="3" s="1"/>
  <c r="S507" i="3" s="1"/>
  <c r="AA507" i="3"/>
  <c r="Z507" i="3"/>
  <c r="U506" i="3" l="1"/>
  <c r="Y505" i="3"/>
  <c r="T507" i="3"/>
  <c r="AH507" i="3" s="1"/>
  <c r="AG507" i="3" l="1"/>
  <c r="E507" i="3"/>
  <c r="H507" i="3" s="1"/>
  <c r="D507" i="3"/>
  <c r="K507" i="3" l="1"/>
  <c r="AE507" i="3" s="1"/>
  <c r="F507" i="3"/>
  <c r="G507" i="3"/>
  <c r="I507" i="3" l="1"/>
  <c r="J507" i="3"/>
  <c r="AD507" i="3" s="1"/>
  <c r="M507" i="3"/>
  <c r="N507" i="3" s="1"/>
  <c r="V507" i="3"/>
  <c r="A508" i="3"/>
  <c r="B508" i="3" s="1"/>
  <c r="W507" i="3" l="1"/>
  <c r="L507" i="3"/>
  <c r="P508" i="3"/>
  <c r="Q508" i="3" s="1"/>
  <c r="R508" i="3" s="1"/>
  <c r="S508" i="3" s="1"/>
  <c r="AA508" i="3"/>
  <c r="Z508" i="3"/>
  <c r="AC508" i="3"/>
  <c r="U507" i="3" l="1"/>
  <c r="Y506" i="3"/>
  <c r="T508" i="3"/>
  <c r="E508" i="3" l="1"/>
  <c r="H508" i="3" s="1"/>
  <c r="K508" i="3" s="1"/>
  <c r="AE508" i="3" s="1"/>
  <c r="AH508" i="3"/>
  <c r="D508" i="3"/>
  <c r="AG508" i="3"/>
  <c r="F508" i="3" l="1"/>
  <c r="G508" i="3"/>
  <c r="V508" i="3"/>
  <c r="A509" i="3"/>
  <c r="B509" i="3" s="1"/>
  <c r="AD509" i="3" l="1"/>
  <c r="AC509" i="3"/>
  <c r="Z509" i="3"/>
  <c r="AA509" i="3"/>
  <c r="P509" i="3"/>
  <c r="Q509" i="3" s="1"/>
  <c r="R509" i="3" s="1"/>
  <c r="S509" i="3" s="1"/>
  <c r="I508" i="3"/>
  <c r="W508" i="3" s="1"/>
  <c r="J508" i="3"/>
  <c r="AD508" i="3" s="1"/>
  <c r="M508" i="3"/>
  <c r="N508" i="3" s="1"/>
  <c r="L508" i="3" l="1"/>
  <c r="T509" i="3"/>
  <c r="AG509" i="3" l="1"/>
  <c r="AH509" i="3"/>
  <c r="U508" i="3"/>
  <c r="D509" i="3" s="1"/>
  <c r="Y507" i="3"/>
  <c r="G509" i="3" l="1"/>
  <c r="E509" i="3"/>
  <c r="H509" i="3" s="1"/>
  <c r="F509" i="3" l="1"/>
  <c r="I509" i="3"/>
  <c r="J509" i="3"/>
  <c r="M509" i="3"/>
  <c r="N509" i="3" s="1"/>
  <c r="K509" i="3"/>
  <c r="AE509" i="3" s="1"/>
  <c r="V509" i="3" l="1"/>
  <c r="W509" i="3" s="1"/>
  <c r="A510" i="3"/>
  <c r="B510" i="3" s="1"/>
  <c r="L509" i="3"/>
  <c r="U509" i="3" l="1"/>
  <c r="Y508" i="3"/>
  <c r="AC510" i="3"/>
  <c r="Z510" i="3"/>
  <c r="AA510" i="3"/>
  <c r="AD510" i="3"/>
  <c r="P510" i="3"/>
  <c r="Q510" i="3" s="1"/>
  <c r="R510" i="3" s="1"/>
  <c r="S510" i="3" s="1"/>
  <c r="T510" i="3" l="1"/>
  <c r="AH510" i="3" l="1"/>
  <c r="E510" i="3"/>
  <c r="H510" i="3" s="1"/>
  <c r="D510" i="3"/>
  <c r="AG510" i="3"/>
  <c r="F510" i="3" l="1"/>
  <c r="G510" i="3"/>
  <c r="K510" i="3"/>
  <c r="AE510" i="3" s="1"/>
  <c r="V510" i="3" l="1"/>
  <c r="A511" i="3"/>
  <c r="B511" i="3" s="1"/>
  <c r="I510" i="3"/>
  <c r="J510" i="3"/>
  <c r="M510" i="3"/>
  <c r="N510" i="3" s="1"/>
  <c r="L510" i="3" l="1"/>
  <c r="AA511" i="3"/>
  <c r="AC511" i="3"/>
  <c r="P511" i="3"/>
  <c r="Q511" i="3" s="1"/>
  <c r="R511" i="3" s="1"/>
  <c r="S511" i="3" s="1"/>
  <c r="Z511" i="3"/>
  <c r="AD511" i="3"/>
  <c r="W510" i="3"/>
  <c r="U510" i="3" l="1"/>
  <c r="Y509" i="3"/>
  <c r="T511" i="3"/>
  <c r="AG511" i="3" s="1"/>
  <c r="AH511" i="3" l="1"/>
  <c r="D511" i="3"/>
  <c r="E511" i="3"/>
  <c r="H511" i="3" s="1"/>
  <c r="F511" i="3" l="1"/>
  <c r="G511" i="3"/>
  <c r="K511" i="3"/>
  <c r="AE511" i="3" s="1"/>
  <c r="V511" i="3" l="1"/>
  <c r="A512" i="3"/>
  <c r="B512" i="3" s="1"/>
  <c r="I511" i="3"/>
  <c r="J511" i="3"/>
  <c r="M511" i="3"/>
  <c r="N511" i="3" s="1"/>
  <c r="W511" i="3" l="1"/>
  <c r="L511" i="3"/>
  <c r="AC512" i="3"/>
  <c r="Z512" i="3"/>
  <c r="AA512" i="3"/>
  <c r="P512" i="3"/>
  <c r="Q512" i="3" s="1"/>
  <c r="R512" i="3" s="1"/>
  <c r="S512" i="3" s="1"/>
  <c r="AD512" i="3"/>
  <c r="T512" i="3" l="1"/>
  <c r="U511" i="3"/>
  <c r="Y510" i="3"/>
  <c r="D512" i="3" l="1"/>
  <c r="G512" i="3" s="1"/>
  <c r="AH512" i="3"/>
  <c r="E512" i="3"/>
  <c r="H512" i="3" s="1"/>
  <c r="K512" i="3" s="1"/>
  <c r="AE512" i="3" s="1"/>
  <c r="AG512" i="3"/>
  <c r="F512" i="3" l="1"/>
  <c r="I512" i="3"/>
  <c r="J512" i="3"/>
  <c r="M512" i="3"/>
  <c r="N512" i="3" s="1"/>
  <c r="V512" i="3"/>
  <c r="A513" i="3"/>
  <c r="B513" i="3" s="1"/>
  <c r="W512" i="3" l="1"/>
  <c r="L512" i="3"/>
  <c r="AA513" i="3"/>
  <c r="P513" i="3"/>
  <c r="Q513" i="3" s="1"/>
  <c r="R513" i="3" s="1"/>
  <c r="S513" i="3" s="1"/>
  <c r="AC513" i="3"/>
  <c r="AD513" i="3"/>
  <c r="Z513" i="3"/>
  <c r="T513" i="3" l="1"/>
  <c r="AG513" i="3" s="1"/>
  <c r="U512" i="3"/>
  <c r="Y511" i="3"/>
  <c r="AH513" i="3" l="1"/>
  <c r="E513" i="3"/>
  <c r="H513" i="3" s="1"/>
  <c r="D513" i="3"/>
  <c r="F513" i="3" l="1"/>
  <c r="G513" i="3"/>
  <c r="K513" i="3"/>
  <c r="AE513" i="3" s="1"/>
  <c r="V513" i="3" l="1"/>
  <c r="A514" i="3"/>
  <c r="B514" i="3" s="1"/>
  <c r="I513" i="3"/>
  <c r="J513" i="3"/>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P515" i="3"/>
  <c r="Q515" i="3" s="1"/>
  <c r="R515" i="3" s="1"/>
  <c r="S515" i="3" s="1"/>
  <c r="AC515" i="3"/>
  <c r="Z515" i="3"/>
  <c r="AA515" i="3"/>
  <c r="U514" i="3" l="1"/>
  <c r="Y513" i="3"/>
  <c r="T515" i="3"/>
  <c r="D515" i="3" l="1"/>
  <c r="G515" i="3" s="1"/>
  <c r="AG515" i="3"/>
  <c r="AH515" i="3"/>
  <c r="E515" i="3"/>
  <c r="H515" i="3" s="1"/>
  <c r="K515" i="3" l="1"/>
  <c r="AE515" i="3" s="1"/>
  <c r="I515" i="3"/>
  <c r="J515" i="3"/>
  <c r="AD515" i="3" s="1"/>
  <c r="M515" i="3"/>
  <c r="N515" i="3" s="1"/>
  <c r="F515" i="3"/>
  <c r="L515" i="3" l="1"/>
  <c r="V515" i="3"/>
  <c r="W515" i="3" s="1"/>
  <c r="A516" i="3"/>
  <c r="B516" i="3" s="1"/>
  <c r="U515" i="3" l="1"/>
  <c r="Y514" i="3"/>
  <c r="AA516" i="3"/>
  <c r="Z516" i="3"/>
  <c r="AC516" i="3"/>
  <c r="P516" i="3"/>
  <c r="Q516" i="3" s="1"/>
  <c r="R516" i="3" s="1"/>
  <c r="S516" i="3" s="1"/>
  <c r="T516" i="3" l="1"/>
  <c r="AG516" i="3" s="1"/>
  <c r="D516" i="3" l="1"/>
  <c r="AH516" i="3"/>
  <c r="E516" i="3"/>
  <c r="H516" i="3" s="1"/>
  <c r="F516" i="3" l="1"/>
  <c r="G516" i="3"/>
  <c r="K516" i="3"/>
  <c r="AE516" i="3" s="1"/>
  <c r="I516" i="3" l="1"/>
  <c r="J516" i="3"/>
  <c r="AD516" i="3" s="1"/>
  <c r="M516" i="3"/>
  <c r="N516" i="3" s="1"/>
  <c r="V516" i="3"/>
  <c r="A517" i="3"/>
  <c r="B517" i="3" s="1"/>
  <c r="W516" i="3" l="1"/>
  <c r="L516" i="3"/>
  <c r="AC517" i="3"/>
  <c r="P517" i="3"/>
  <c r="Q517" i="3" s="1"/>
  <c r="R517" i="3" s="1"/>
  <c r="S517" i="3" s="1"/>
  <c r="AA517" i="3"/>
  <c r="Z517" i="3"/>
  <c r="U516" i="3" l="1"/>
  <c r="Y515" i="3"/>
  <c r="T517" i="3"/>
  <c r="AG517" i="3" s="1"/>
  <c r="D517" i="3" l="1"/>
  <c r="G517" i="3" s="1"/>
  <c r="AH517" i="3"/>
  <c r="E517" i="3"/>
  <c r="H517" i="3" s="1"/>
  <c r="K517" i="3" s="1"/>
  <c r="AE517" i="3" s="1"/>
  <c r="F517" i="3" l="1"/>
  <c r="I517" i="3"/>
  <c r="J517" i="3"/>
  <c r="AD517" i="3" s="1"/>
  <c r="M517" i="3"/>
  <c r="N517" i="3" s="1"/>
  <c r="V517" i="3"/>
  <c r="A518" i="3"/>
  <c r="B518" i="3" s="1"/>
  <c r="W517" i="3" l="1"/>
  <c r="L517" i="3"/>
  <c r="AA518" i="3"/>
  <c r="AC518" i="3"/>
  <c r="Z518" i="3"/>
  <c r="P518" i="3"/>
  <c r="Q518" i="3" s="1"/>
  <c r="R518" i="3" s="1"/>
  <c r="S518" i="3" s="1"/>
  <c r="U517" i="3" l="1"/>
  <c r="Y516" i="3"/>
  <c r="T518" i="3"/>
  <c r="D518" i="3" l="1"/>
  <c r="G518" i="3" s="1"/>
  <c r="E518" i="3"/>
  <c r="H518" i="3" s="1"/>
  <c r="AH518" i="3"/>
  <c r="AG518" i="3"/>
  <c r="F518" i="3" l="1"/>
  <c r="I518" i="3"/>
  <c r="J518" i="3"/>
  <c r="AD518" i="3" s="1"/>
  <c r="M518" i="3"/>
  <c r="N518" i="3" s="1"/>
  <c r="K518" i="3"/>
  <c r="AE518" i="3" s="1"/>
  <c r="V518" i="3" l="1"/>
  <c r="W518" i="3" s="1"/>
  <c r="A519" i="3"/>
  <c r="B519" i="3" s="1"/>
  <c r="L518" i="3"/>
  <c r="U518" i="3" l="1"/>
  <c r="Y517" i="3"/>
  <c r="AA519" i="3"/>
  <c r="Z519" i="3"/>
  <c r="AC519" i="3"/>
  <c r="P519" i="3"/>
  <c r="Q519" i="3" s="1"/>
  <c r="R519" i="3" s="1"/>
  <c r="S519" i="3" s="1"/>
  <c r="T519" i="3" l="1"/>
  <c r="D519" i="3" s="1"/>
  <c r="AG519" i="3" l="1"/>
  <c r="G519" i="3"/>
  <c r="AH519" i="3"/>
  <c r="E519" i="3"/>
  <c r="H519" i="3" s="1"/>
  <c r="F519" i="3" l="1"/>
  <c r="I519" i="3"/>
  <c r="J519" i="3"/>
  <c r="AD519" i="3" s="1"/>
  <c r="M519" i="3"/>
  <c r="N519" i="3" s="1"/>
  <c r="K519" i="3"/>
  <c r="AE519" i="3" s="1"/>
  <c r="V519" i="3" l="1"/>
  <c r="W519" i="3" s="1"/>
  <c r="A520" i="3"/>
  <c r="B520" i="3" s="1"/>
  <c r="L519" i="3"/>
  <c r="U519" i="3" l="1"/>
  <c r="Y518" i="3"/>
  <c r="AA520" i="3"/>
  <c r="AC520" i="3"/>
  <c r="Z520" i="3"/>
  <c r="P520" i="3"/>
  <c r="Q520" i="3" s="1"/>
  <c r="R520" i="3" s="1"/>
  <c r="S520" i="3" s="1"/>
  <c r="T520" i="3" l="1"/>
  <c r="D520" i="3" s="1"/>
  <c r="AG520" i="3" l="1"/>
  <c r="E520" i="3"/>
  <c r="H520" i="3" s="1"/>
  <c r="K520" i="3" s="1"/>
  <c r="AE520" i="3" s="1"/>
  <c r="AH520" i="3"/>
  <c r="G520" i="3"/>
  <c r="F520" i="3" l="1"/>
  <c r="I520" i="3"/>
  <c r="J520" i="3"/>
  <c r="AD520" i="3" s="1"/>
  <c r="M520" i="3"/>
  <c r="N520" i="3" s="1"/>
  <c r="V520" i="3"/>
  <c r="A521" i="3"/>
  <c r="B521" i="3" s="1"/>
  <c r="W520" i="3" l="1"/>
  <c r="L520" i="3"/>
  <c r="P521" i="3"/>
  <c r="Q521" i="3" s="1"/>
  <c r="R521" i="3" s="1"/>
  <c r="S521" i="3" s="1"/>
  <c r="AC521" i="3"/>
  <c r="AA521" i="3"/>
  <c r="Z521" i="3"/>
  <c r="U520" i="3" l="1"/>
  <c r="Y519" i="3"/>
  <c r="T521" i="3"/>
  <c r="AH521" i="3" s="1"/>
  <c r="AG521" i="3" l="1"/>
  <c r="D521" i="3"/>
  <c r="E521" i="3"/>
  <c r="H521" i="3" s="1"/>
  <c r="K521" i="3" s="1"/>
  <c r="AE521" i="3" s="1"/>
  <c r="F521" i="3" l="1"/>
  <c r="G521" i="3"/>
  <c r="I521" i="3" s="1"/>
  <c r="V521" i="3"/>
  <c r="A522" i="3"/>
  <c r="B522" i="3" s="1"/>
  <c r="M521" i="3" l="1"/>
  <c r="N521" i="3" s="1"/>
  <c r="J521" i="3"/>
  <c r="W521" i="3"/>
  <c r="AC522" i="3"/>
  <c r="P522" i="3"/>
  <c r="Q522" i="3" s="1"/>
  <c r="R522" i="3" s="1"/>
  <c r="S522" i="3" s="1"/>
  <c r="AA522" i="3"/>
  <c r="Z522" i="3"/>
  <c r="L521" i="3" l="1"/>
  <c r="U521" i="3" s="1"/>
  <c r="AD521" i="3"/>
  <c r="T522" i="3"/>
  <c r="AG522" i="3" l="1"/>
  <c r="Y520" i="3"/>
  <c r="AH522" i="3"/>
  <c r="E522" i="3"/>
  <c r="H522" i="3" s="1"/>
  <c r="D522" i="3"/>
  <c r="K522" i="3" l="1"/>
  <c r="AE522" i="3" s="1"/>
  <c r="F522" i="3"/>
  <c r="G522" i="3"/>
  <c r="I522" i="3" l="1"/>
  <c r="J522" i="3"/>
  <c r="AD522" i="3" s="1"/>
  <c r="M522" i="3"/>
  <c r="N522" i="3" s="1"/>
  <c r="V522" i="3"/>
  <c r="A523" i="3"/>
  <c r="B523" i="3" s="1"/>
  <c r="W522" i="3" l="1"/>
  <c r="L522" i="3"/>
  <c r="AC523" i="3"/>
  <c r="Z523" i="3"/>
  <c r="AA523" i="3"/>
  <c r="P523" i="3"/>
  <c r="Q523" i="3" s="1"/>
  <c r="R523" i="3" s="1"/>
  <c r="S523" i="3" s="1"/>
  <c r="U522" i="3" l="1"/>
  <c r="Y521" i="3"/>
  <c r="T523" i="3"/>
  <c r="AG523" i="3" s="1"/>
  <c r="AH523" i="3" l="1"/>
  <c r="D523" i="3"/>
  <c r="G523" i="3" s="1"/>
  <c r="E523" i="3"/>
  <c r="H523" i="3" s="1"/>
  <c r="F523" i="3" l="1"/>
  <c r="I523" i="3"/>
  <c r="J523" i="3"/>
  <c r="AD523" i="3" s="1"/>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Z525" i="3"/>
  <c r="P525" i="3"/>
  <c r="Q525" i="3" s="1"/>
  <c r="R525" i="3" s="1"/>
  <c r="S525" i="3" s="1"/>
  <c r="T525" i="3" l="1"/>
  <c r="AH525" i="3" s="1"/>
  <c r="U524" i="3"/>
  <c r="Y523" i="3"/>
  <c r="AG525" i="3" l="1"/>
  <c r="D525" i="3"/>
  <c r="E525" i="3"/>
  <c r="H525" i="3" s="1"/>
  <c r="F525" i="3" l="1"/>
  <c r="G525" i="3"/>
  <c r="K525" i="3"/>
  <c r="AE525" i="3" s="1"/>
  <c r="I525" i="3" l="1"/>
  <c r="J525" i="3"/>
  <c r="AD525" i="3" s="1"/>
  <c r="M525" i="3"/>
  <c r="N525" i="3" s="1"/>
  <c r="V525" i="3"/>
  <c r="A526" i="3"/>
  <c r="B526" i="3" s="1"/>
  <c r="L525" i="3" l="1"/>
  <c r="W525" i="3"/>
  <c r="AA526" i="3"/>
  <c r="P526" i="3"/>
  <c r="Q526" i="3" s="1"/>
  <c r="R526" i="3" s="1"/>
  <c r="S526" i="3" s="1"/>
  <c r="Z526" i="3"/>
  <c r="AC526" i="3"/>
  <c r="T526" i="3" l="1"/>
  <c r="U525" i="3"/>
  <c r="Y524" i="3"/>
  <c r="D526" i="3" l="1"/>
  <c r="G526" i="3" s="1"/>
  <c r="AH526" i="3"/>
  <c r="E526" i="3"/>
  <c r="H526" i="3" s="1"/>
  <c r="K526" i="3" s="1"/>
  <c r="AE526" i="3" s="1"/>
  <c r="AG526" i="3"/>
  <c r="F526" i="3" l="1"/>
  <c r="V526" i="3"/>
  <c r="A527" i="3"/>
  <c r="B527" i="3" s="1"/>
  <c r="I526" i="3"/>
  <c r="J526" i="3"/>
  <c r="AD526" i="3" s="1"/>
  <c r="M526" i="3"/>
  <c r="N526" i="3" s="1"/>
  <c r="W526" i="3" l="1"/>
  <c r="L526" i="3"/>
  <c r="Z527" i="3"/>
  <c r="AC527" i="3"/>
  <c r="P527" i="3"/>
  <c r="Q527" i="3" s="1"/>
  <c r="R527" i="3" s="1"/>
  <c r="S527" i="3" s="1"/>
  <c r="AA527" i="3"/>
  <c r="U526" i="3" l="1"/>
  <c r="Y525" i="3"/>
  <c r="T527" i="3"/>
  <c r="D527" i="3" l="1"/>
  <c r="G527" i="3" s="1"/>
  <c r="E527" i="3"/>
  <c r="H527" i="3" s="1"/>
  <c r="AG527" i="3"/>
  <c r="AH527" i="3"/>
  <c r="F527" i="3" l="1"/>
  <c r="I527" i="3"/>
  <c r="J527" i="3"/>
  <c r="AD527" i="3" s="1"/>
  <c r="M527" i="3"/>
  <c r="N527" i="3" s="1"/>
  <c r="K527" i="3"/>
  <c r="AE527" i="3" s="1"/>
  <c r="V527" i="3" l="1"/>
  <c r="W527" i="3" s="1"/>
  <c r="A528" i="3"/>
  <c r="B528" i="3" s="1"/>
  <c r="L527" i="3"/>
  <c r="U527" i="3" l="1"/>
  <c r="Y526" i="3"/>
  <c r="Z528" i="3"/>
  <c r="P528" i="3"/>
  <c r="Q528" i="3" s="1"/>
  <c r="R528" i="3" s="1"/>
  <c r="S528" i="3" s="1"/>
  <c r="AC528" i="3"/>
  <c r="AA528" i="3"/>
  <c r="T528" i="3" l="1"/>
  <c r="AH528" i="3" s="1"/>
  <c r="D528" i="3" l="1"/>
  <c r="E528" i="3"/>
  <c r="H528" i="3" s="1"/>
  <c r="K528" i="3" s="1"/>
  <c r="AE528" i="3" s="1"/>
  <c r="AG528" i="3"/>
  <c r="F528" i="3" l="1"/>
  <c r="G528" i="3"/>
  <c r="M528" i="3" s="1"/>
  <c r="N528" i="3" s="1"/>
  <c r="V528" i="3"/>
  <c r="A529" i="3"/>
  <c r="B529" i="3" s="1"/>
  <c r="I528" i="3" l="1"/>
  <c r="W528" i="3" s="1"/>
  <c r="J528" i="3"/>
  <c r="Z529" i="3"/>
  <c r="AC529" i="3"/>
  <c r="P529" i="3"/>
  <c r="Q529" i="3" s="1"/>
  <c r="R529" i="3" s="1"/>
  <c r="S529" i="3" s="1"/>
  <c r="AA529" i="3"/>
  <c r="L528" i="3" l="1"/>
  <c r="Y527" i="3" s="1"/>
  <c r="AD528" i="3"/>
  <c r="T529" i="3"/>
  <c r="AG529" i="3" l="1"/>
  <c r="U528" i="3"/>
  <c r="D529" i="3" s="1"/>
  <c r="G529" i="3" s="1"/>
  <c r="AH529" i="3"/>
  <c r="E529" i="3" l="1"/>
  <c r="H529" i="3" s="1"/>
  <c r="K529" i="3" s="1"/>
  <c r="AE529" i="3" s="1"/>
  <c r="J529" i="3"/>
  <c r="AD529" i="3" s="1"/>
  <c r="A530" i="3" l="1"/>
  <c r="B530" i="3" s="1"/>
  <c r="P530" i="3" s="1"/>
  <c r="Q530" i="3" s="1"/>
  <c r="R530" i="3" s="1"/>
  <c r="S530" i="3" s="1"/>
  <c r="V529" i="3"/>
  <c r="M529" i="3"/>
  <c r="N529" i="3" s="1"/>
  <c r="I529" i="3"/>
  <c r="F529" i="3"/>
  <c r="L529" i="3"/>
  <c r="AC530" i="3" l="1"/>
  <c r="Z530" i="3"/>
  <c r="AA530" i="3"/>
  <c r="W529" i="3"/>
  <c r="T530" i="3"/>
  <c r="U529" i="3"/>
  <c r="Y528" i="3"/>
  <c r="AG530" i="3" l="1"/>
  <c r="D530" i="3"/>
  <c r="G530" i="3" s="1"/>
  <c r="AH530" i="3"/>
  <c r="E530" i="3"/>
  <c r="H530" i="3" s="1"/>
  <c r="F530" i="3" l="1"/>
  <c r="I530" i="3"/>
  <c r="J530" i="3"/>
  <c r="AD530" i="3" s="1"/>
  <c r="M530" i="3"/>
  <c r="N530" i="3" s="1"/>
  <c r="K530" i="3"/>
  <c r="AE530" i="3" s="1"/>
  <c r="V530" i="3" l="1"/>
  <c r="W530" i="3" s="1"/>
  <c r="A531" i="3"/>
  <c r="B531" i="3" s="1"/>
  <c r="L530" i="3"/>
  <c r="U530" i="3" l="1"/>
  <c r="Y529" i="3"/>
  <c r="Z531" i="3"/>
  <c r="AC531" i="3"/>
  <c r="AA531" i="3"/>
  <c r="P531" i="3"/>
  <c r="Q531" i="3" s="1"/>
  <c r="R531" i="3" s="1"/>
  <c r="S531" i="3" s="1"/>
  <c r="T531" i="3" l="1"/>
  <c r="AG531" i="3" s="1"/>
  <c r="AH531" i="3" l="1"/>
  <c r="D531" i="3"/>
  <c r="E531" i="3"/>
  <c r="H531" i="3" s="1"/>
  <c r="K531" i="3" l="1"/>
  <c r="AE531" i="3" s="1"/>
  <c r="F531" i="3"/>
  <c r="G531" i="3"/>
  <c r="I531" i="3" l="1"/>
  <c r="J531" i="3"/>
  <c r="AD531" i="3" s="1"/>
  <c r="M531" i="3"/>
  <c r="N531" i="3" s="1"/>
  <c r="V531" i="3"/>
  <c r="A532" i="3"/>
  <c r="B532" i="3" s="1"/>
  <c r="W531" i="3" l="1"/>
  <c r="L531"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AD532" i="3" s="1"/>
  <c r="M532" i="3"/>
  <c r="N532" i="3" s="1"/>
  <c r="W532" i="3" l="1"/>
  <c r="L532" i="3"/>
  <c r="P533" i="3"/>
  <c r="Q533" i="3" s="1"/>
  <c r="R533" i="3" s="1"/>
  <c r="S533" i="3" s="1"/>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AD533" i="3" s="1"/>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A537" i="3"/>
  <c r="U536" i="3" l="1"/>
  <c r="Y535" i="3"/>
  <c r="T537" i="3"/>
  <c r="AH537" i="3" s="1"/>
  <c r="AG537" i="3" l="1"/>
  <c r="E537" i="3"/>
  <c r="H537" i="3" s="1"/>
  <c r="D537" i="3"/>
  <c r="K537" i="3" l="1"/>
  <c r="AE537" i="3" s="1"/>
  <c r="F537" i="3"/>
  <c r="G537" i="3"/>
  <c r="I537" i="3" l="1"/>
  <c r="J537" i="3"/>
  <c r="AD537" i="3" s="1"/>
  <c r="M537" i="3"/>
  <c r="N537" i="3" s="1"/>
  <c r="V537" i="3"/>
  <c r="A538" i="3"/>
  <c r="B538" i="3" s="1"/>
  <c r="W537" i="3" l="1"/>
  <c r="L537" i="3"/>
  <c r="AA538" i="3"/>
  <c r="AC538" i="3"/>
  <c r="Z538" i="3"/>
  <c r="P538" i="3"/>
  <c r="Q538" i="3" s="1"/>
  <c r="R538" i="3" s="1"/>
  <c r="S538" i="3" s="1"/>
  <c r="T538" i="3" l="1"/>
  <c r="U537" i="3"/>
  <c r="Y536" i="3"/>
  <c r="D538" i="3" l="1"/>
  <c r="G538" i="3" s="1"/>
  <c r="AH538" i="3"/>
  <c r="AG538" i="3"/>
  <c r="E538" i="3"/>
  <c r="H538" i="3" s="1"/>
  <c r="F538" i="3" l="1"/>
  <c r="I538" i="3"/>
  <c r="J538" i="3"/>
  <c r="AD538" i="3" s="1"/>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AD545" i="3" s="1"/>
  <c r="M545" i="3"/>
  <c r="N545" i="3" s="1"/>
  <c r="AC546" i="3"/>
  <c r="P546" i="3"/>
  <c r="Q546" i="3" s="1"/>
  <c r="R546" i="3" s="1"/>
  <c r="S546" i="3" s="1"/>
  <c r="Z546" i="3"/>
  <c r="AA546" i="3"/>
  <c r="T546" i="3" l="1"/>
  <c r="L545" i="3"/>
  <c r="U545" i="3" l="1"/>
  <c r="D546" i="3" s="1"/>
  <c r="AG546" i="3"/>
  <c r="AH546" i="3"/>
  <c r="Y544" i="3"/>
  <c r="E546" i="3" l="1"/>
  <c r="H546" i="3" s="1"/>
  <c r="K546" i="3" s="1"/>
  <c r="AE546" i="3" s="1"/>
  <c r="G546" i="3"/>
  <c r="F546" i="3" l="1"/>
  <c r="V546" i="3"/>
  <c r="A547" i="3"/>
  <c r="B547" i="3" s="1"/>
  <c r="I546" i="3"/>
  <c r="J546" i="3"/>
  <c r="AD546" i="3" s="1"/>
  <c r="M546" i="3"/>
  <c r="N546" i="3" s="1"/>
  <c r="W546" i="3" l="1"/>
  <c r="L546" i="3"/>
  <c r="AC547" i="3"/>
  <c r="P547" i="3"/>
  <c r="Q547" i="3" s="1"/>
  <c r="R547" i="3" s="1"/>
  <c r="S547" i="3" s="1"/>
  <c r="AA547" i="3"/>
  <c r="Z547" i="3"/>
  <c r="U546" i="3" l="1"/>
  <c r="Y545" i="3"/>
  <c r="T547" i="3"/>
  <c r="AG547" i="3" s="1"/>
  <c r="E547" i="3" l="1"/>
  <c r="H547" i="3" s="1"/>
  <c r="K547" i="3" s="1"/>
  <c r="AE547" i="3" s="1"/>
  <c r="D547" i="3"/>
  <c r="G547" i="3" s="1"/>
  <c r="AH547" i="3"/>
  <c r="F547" i="3" l="1"/>
  <c r="I547" i="3"/>
  <c r="J547" i="3"/>
  <c r="AD547" i="3" s="1"/>
  <c r="M547" i="3"/>
  <c r="N547" i="3" s="1"/>
  <c r="V547" i="3"/>
  <c r="A548" i="3"/>
  <c r="B548" i="3" s="1"/>
  <c r="W547" i="3" l="1"/>
  <c r="L547" i="3"/>
  <c r="Z548" i="3"/>
  <c r="AA548" i="3"/>
  <c r="P548" i="3"/>
  <c r="Q548" i="3" s="1"/>
  <c r="R548" i="3" s="1"/>
  <c r="S548" i="3" s="1"/>
  <c r="AC548" i="3"/>
  <c r="U547" i="3" l="1"/>
  <c r="Y546" i="3"/>
  <c r="T548" i="3"/>
  <c r="E548" i="3" l="1"/>
  <c r="H548" i="3" s="1"/>
  <c r="K548" i="3" s="1"/>
  <c r="AE548" i="3" s="1"/>
  <c r="D548" i="3"/>
  <c r="AG548" i="3"/>
  <c r="AH548" i="3"/>
  <c r="V548" i="3" l="1"/>
  <c r="A549" i="3"/>
  <c r="B549" i="3" s="1"/>
  <c r="F548" i="3"/>
  <c r="G548" i="3"/>
  <c r="I548" i="3" l="1"/>
  <c r="W548" i="3" s="1"/>
  <c r="J548" i="3"/>
  <c r="AD548" i="3" s="1"/>
  <c r="M548" i="3"/>
  <c r="N548" i="3" s="1"/>
  <c r="P549" i="3"/>
  <c r="Q549" i="3" s="1"/>
  <c r="R549" i="3" s="1"/>
  <c r="S549" i="3" s="1"/>
  <c r="AC549" i="3"/>
  <c r="AA549" i="3"/>
  <c r="Z549" i="3"/>
  <c r="T549" i="3" l="1"/>
  <c r="L548" i="3"/>
  <c r="AH549" i="3" l="1"/>
  <c r="U548" i="3"/>
  <c r="E549" i="3" s="1"/>
  <c r="H549" i="3" s="1"/>
  <c r="AG549" i="3"/>
  <c r="Y547" i="3"/>
  <c r="K549" i="3" l="1"/>
  <c r="AE549" i="3" s="1"/>
  <c r="D549" i="3"/>
  <c r="V549" i="3" l="1"/>
  <c r="A550" i="3"/>
  <c r="B550" i="3" s="1"/>
  <c r="F549" i="3"/>
  <c r="G549" i="3"/>
  <c r="I549" i="3" l="1"/>
  <c r="W549" i="3" s="1"/>
  <c r="J549" i="3"/>
  <c r="AD549" i="3" s="1"/>
  <c r="M549" i="3"/>
  <c r="N549" i="3" s="1"/>
  <c r="P550" i="3"/>
  <c r="Q550" i="3" s="1"/>
  <c r="R550" i="3" s="1"/>
  <c r="S550" i="3" s="1"/>
  <c r="AA550" i="3"/>
  <c r="AC550" i="3"/>
  <c r="Z550" i="3"/>
  <c r="T550" i="3" l="1"/>
  <c r="L549" i="3"/>
  <c r="U549" i="3" l="1"/>
  <c r="D550" i="3" s="1"/>
  <c r="AH550" i="3"/>
  <c r="AG550" i="3"/>
  <c r="Y548" i="3"/>
  <c r="E550" i="3" l="1"/>
  <c r="H550" i="3" s="1"/>
  <c r="K550" i="3" s="1"/>
  <c r="AE550" i="3" s="1"/>
  <c r="G550" i="3"/>
  <c r="F550" i="3" l="1"/>
  <c r="I550" i="3"/>
  <c r="J550" i="3"/>
  <c r="AD550" i="3" s="1"/>
  <c r="M550" i="3"/>
  <c r="N550" i="3" s="1"/>
  <c r="V550" i="3"/>
  <c r="A551" i="3"/>
  <c r="B551" i="3" s="1"/>
  <c r="W550" i="3" l="1"/>
  <c r="L550" i="3"/>
  <c r="P551" i="3"/>
  <c r="Q551" i="3" s="1"/>
  <c r="R551" i="3" s="1"/>
  <c r="S551" i="3" s="1"/>
  <c r="AC551" i="3"/>
  <c r="AA551" i="3"/>
  <c r="Z551" i="3"/>
  <c r="T551" i="3" l="1"/>
  <c r="AG551" i="3" s="1"/>
  <c r="U550" i="3"/>
  <c r="Y549" i="3"/>
  <c r="D551" i="3" l="1"/>
  <c r="G551" i="3" s="1"/>
  <c r="AH551" i="3"/>
  <c r="E551" i="3"/>
  <c r="H551" i="3" s="1"/>
  <c r="F551" i="3" l="1"/>
  <c r="I551" i="3"/>
  <c r="J551" i="3"/>
  <c r="AD551" i="3" s="1"/>
  <c r="M551" i="3"/>
  <c r="N551" i="3" s="1"/>
  <c r="K551" i="3"/>
  <c r="AE551" i="3" s="1"/>
  <c r="V551" i="3" l="1"/>
  <c r="W551" i="3" s="1"/>
  <c r="A552" i="3"/>
  <c r="B552" i="3" s="1"/>
  <c r="L551" i="3"/>
  <c r="U551" i="3" l="1"/>
  <c r="Y550" i="3"/>
  <c r="AA552" i="3"/>
  <c r="P552" i="3"/>
  <c r="Q552" i="3" s="1"/>
  <c r="R552" i="3" s="1"/>
  <c r="S552" i="3" s="1"/>
  <c r="AC552" i="3"/>
  <c r="Z552" i="3"/>
  <c r="T552" i="3" l="1"/>
  <c r="D552" i="3" s="1"/>
  <c r="AG552" i="3" l="1"/>
  <c r="AH552" i="3"/>
  <c r="E552" i="3"/>
  <c r="H552" i="3" s="1"/>
  <c r="K552" i="3" s="1"/>
  <c r="AE552" i="3" s="1"/>
  <c r="G552" i="3"/>
  <c r="F552" i="3" l="1"/>
  <c r="I552" i="3"/>
  <c r="J552" i="3"/>
  <c r="AD552" i="3" s="1"/>
  <c r="M552" i="3"/>
  <c r="N552" i="3" s="1"/>
  <c r="V552" i="3"/>
  <c r="A553" i="3"/>
  <c r="B553" i="3" s="1"/>
  <c r="W552" i="3" l="1"/>
  <c r="L552" i="3"/>
  <c r="P553" i="3"/>
  <c r="Q553" i="3" s="1"/>
  <c r="R553" i="3" s="1"/>
  <c r="S553" i="3" s="1"/>
  <c r="Z553" i="3"/>
  <c r="AC553" i="3"/>
  <c r="AA553" i="3"/>
  <c r="T553" i="3" l="1"/>
  <c r="U552" i="3"/>
  <c r="Y551" i="3"/>
  <c r="D553" i="3" l="1"/>
  <c r="G553" i="3" s="1"/>
  <c r="AH553" i="3"/>
  <c r="AG553" i="3"/>
  <c r="E553" i="3"/>
  <c r="H553" i="3" s="1"/>
  <c r="K553" i="3" l="1"/>
  <c r="AE553" i="3" s="1"/>
  <c r="F553" i="3"/>
  <c r="I553" i="3"/>
  <c r="J553" i="3"/>
  <c r="AD553" i="3" s="1"/>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L554" i="3" l="1"/>
  <c r="T555" i="3"/>
  <c r="U554" i="3" l="1"/>
  <c r="E555" i="3" s="1"/>
  <c r="H555" i="3" s="1"/>
  <c r="AG555" i="3"/>
  <c r="AH555" i="3"/>
  <c r="Y553" i="3"/>
  <c r="K555" i="3" l="1"/>
  <c r="AE555" i="3" s="1"/>
  <c r="D555" i="3"/>
  <c r="F555" i="3" l="1"/>
  <c r="G555" i="3"/>
  <c r="V555" i="3"/>
  <c r="A556" i="3"/>
  <c r="B556" i="3" s="1"/>
  <c r="P556" i="3" l="1"/>
  <c r="Q556" i="3" s="1"/>
  <c r="R556" i="3" s="1"/>
  <c r="S556" i="3" s="1"/>
  <c r="AA556" i="3"/>
  <c r="Z556" i="3"/>
  <c r="AC556" i="3"/>
  <c r="I555" i="3"/>
  <c r="W555" i="3" s="1"/>
  <c r="J555" i="3"/>
  <c r="AD555" i="3" s="1"/>
  <c r="M555" i="3"/>
  <c r="N555" i="3" s="1"/>
  <c r="T556" i="3" l="1"/>
  <c r="L555" i="3"/>
  <c r="AH556" i="3" l="1"/>
  <c r="U555" i="3"/>
  <c r="D556" i="3" s="1"/>
  <c r="AG556" i="3"/>
  <c r="Y554" i="3"/>
  <c r="E556" i="3" l="1"/>
  <c r="H556" i="3" s="1"/>
  <c r="K556" i="3" s="1"/>
  <c r="AE556" i="3" s="1"/>
  <c r="G556" i="3"/>
  <c r="F556" i="3" l="1"/>
  <c r="I556" i="3"/>
  <c r="J556" i="3"/>
  <c r="AD556" i="3" s="1"/>
  <c r="M556" i="3"/>
  <c r="N556" i="3" s="1"/>
  <c r="V556" i="3"/>
  <c r="A557" i="3"/>
  <c r="B557" i="3" s="1"/>
  <c r="W556" i="3" l="1"/>
  <c r="L556" i="3"/>
  <c r="P557" i="3"/>
  <c r="Q557" i="3" s="1"/>
  <c r="R557" i="3" s="1"/>
  <c r="S557" i="3" s="1"/>
  <c r="AA557" i="3"/>
  <c r="AC557" i="3"/>
  <c r="Z557" i="3"/>
  <c r="U556" i="3" l="1"/>
  <c r="Y555" i="3"/>
  <c r="T557" i="3"/>
  <c r="AH557" i="3" s="1"/>
  <c r="D557" i="3" l="1"/>
  <c r="G557" i="3" s="1"/>
  <c r="AG557" i="3"/>
  <c r="E557" i="3"/>
  <c r="H557" i="3" s="1"/>
  <c r="K557" i="3" s="1"/>
  <c r="AE557" i="3" s="1"/>
  <c r="F557" i="3" l="1"/>
  <c r="I557" i="3"/>
  <c r="J557" i="3"/>
  <c r="AD557" i="3" s="1"/>
  <c r="M557" i="3"/>
  <c r="N557" i="3" s="1"/>
  <c r="V557" i="3"/>
  <c r="A558" i="3"/>
  <c r="B558" i="3" s="1"/>
  <c r="W557" i="3" l="1"/>
  <c r="L557" i="3"/>
  <c r="AA558" i="3"/>
  <c r="P558" i="3"/>
  <c r="Q558" i="3" s="1"/>
  <c r="R558" i="3" s="1"/>
  <c r="S558" i="3" s="1"/>
  <c r="Z558" i="3"/>
  <c r="AC558" i="3"/>
  <c r="T558" i="3" l="1"/>
  <c r="AG558" i="3" s="1"/>
  <c r="U557" i="3"/>
  <c r="Y556" i="3"/>
  <c r="E558" i="3" l="1"/>
  <c r="H558" i="3" s="1"/>
  <c r="AH558" i="3"/>
  <c r="D558" i="3"/>
  <c r="F558" i="3" l="1"/>
  <c r="G558" i="3"/>
  <c r="K558" i="3"/>
  <c r="AE558" i="3" s="1"/>
  <c r="I558" i="3" l="1"/>
  <c r="J558" i="3"/>
  <c r="AD558" i="3" s="1"/>
  <c r="M558" i="3"/>
  <c r="N558" i="3" s="1"/>
  <c r="V558" i="3"/>
  <c r="A559" i="3"/>
  <c r="B559" i="3" s="1"/>
  <c r="W558" i="3" l="1"/>
  <c r="L558" i="3"/>
  <c r="AC559" i="3"/>
  <c r="P559" i="3"/>
  <c r="Q559" i="3" s="1"/>
  <c r="R559" i="3" s="1"/>
  <c r="S559" i="3" s="1"/>
  <c r="AA559" i="3"/>
  <c r="Z559" i="3"/>
  <c r="T559" i="3" l="1"/>
  <c r="U558" i="3"/>
  <c r="Y557" i="3"/>
  <c r="E559" i="3" l="1"/>
  <c r="H559" i="3" s="1"/>
  <c r="K559" i="3" s="1"/>
  <c r="AE559" i="3" s="1"/>
  <c r="AH559" i="3"/>
  <c r="AG559" i="3"/>
  <c r="D559" i="3"/>
  <c r="V559" i="3" l="1"/>
  <c r="A560" i="3"/>
  <c r="B560" i="3" s="1"/>
  <c r="F559" i="3"/>
  <c r="G559" i="3"/>
  <c r="I559" i="3" l="1"/>
  <c r="W559" i="3" s="1"/>
  <c r="J559" i="3"/>
  <c r="AD559" i="3" s="1"/>
  <c r="M559" i="3"/>
  <c r="N559" i="3" s="1"/>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AD560" i="3" s="1"/>
  <c r="M560" i="3"/>
  <c r="N560" i="3" s="1"/>
  <c r="W560" i="3" l="1"/>
  <c r="L560" i="3"/>
  <c r="AA561" i="3"/>
  <c r="P561" i="3"/>
  <c r="Q561" i="3" s="1"/>
  <c r="R561" i="3" s="1"/>
  <c r="S561" i="3" s="1"/>
  <c r="Z561" i="3"/>
  <c r="AC561" i="3"/>
  <c r="U560" i="3" l="1"/>
  <c r="Y559" i="3"/>
  <c r="T561" i="3"/>
  <c r="E561" i="3" l="1"/>
  <c r="H561" i="3" s="1"/>
  <c r="K561" i="3" s="1"/>
  <c r="AE561" i="3" s="1"/>
  <c r="D561" i="3"/>
  <c r="AH561" i="3"/>
  <c r="AG561" i="3"/>
  <c r="F561" i="3" l="1"/>
  <c r="G561" i="3"/>
  <c r="M561" i="3" s="1"/>
  <c r="N561" i="3" s="1"/>
  <c r="V561" i="3"/>
  <c r="A562" i="3"/>
  <c r="B562" i="3" s="1"/>
  <c r="I561" i="3" l="1"/>
  <c r="W561" i="3" s="1"/>
  <c r="J561" i="3"/>
  <c r="Z562" i="3"/>
  <c r="AA562" i="3"/>
  <c r="P562" i="3"/>
  <c r="Q562" i="3" s="1"/>
  <c r="R562" i="3" s="1"/>
  <c r="S562" i="3" s="1"/>
  <c r="AC562" i="3"/>
  <c r="L561" i="3" l="1"/>
  <c r="U561" i="3" s="1"/>
  <c r="AD561" i="3"/>
  <c r="T562" i="3"/>
  <c r="AH562" i="3" l="1"/>
  <c r="Y560" i="3"/>
  <c r="AG562" i="3"/>
  <c r="E562" i="3"/>
  <c r="H562" i="3" s="1"/>
  <c r="K562" i="3" s="1"/>
  <c r="AE562" i="3" s="1"/>
  <c r="D562" i="3"/>
  <c r="F562" i="3" l="1"/>
  <c r="G562" i="3"/>
  <c r="J562" i="3" s="1"/>
  <c r="AD562" i="3" s="1"/>
  <c r="V562" i="3"/>
  <c r="A563" i="3"/>
  <c r="B563" i="3" s="1"/>
  <c r="M562" i="3" l="1"/>
  <c r="N562" i="3" s="1"/>
  <c r="I562" i="3"/>
  <c r="W562" i="3" s="1"/>
  <c r="L562" i="3"/>
  <c r="Z563" i="3"/>
  <c r="P563" i="3"/>
  <c r="Q563" i="3" s="1"/>
  <c r="R563" i="3" s="1"/>
  <c r="S563" i="3" s="1"/>
  <c r="AC563" i="3"/>
  <c r="AA563" i="3"/>
  <c r="U562" i="3" l="1"/>
  <c r="Y561" i="3"/>
  <c r="T563" i="3"/>
  <c r="AH563" i="3" s="1"/>
  <c r="AG563" i="3" l="1"/>
  <c r="D563" i="3"/>
  <c r="E563" i="3"/>
  <c r="H563" i="3" s="1"/>
  <c r="K563" i="3" s="1"/>
  <c r="AE563" i="3" s="1"/>
  <c r="F563" i="3" l="1"/>
  <c r="G563" i="3"/>
  <c r="M563" i="3" s="1"/>
  <c r="N563" i="3" s="1"/>
  <c r="V563" i="3"/>
  <c r="A564" i="3"/>
  <c r="B564" i="3" s="1"/>
  <c r="I563" i="3" l="1"/>
  <c r="W563" i="3" s="1"/>
  <c r="J563" i="3"/>
  <c r="Z564" i="3"/>
  <c r="P564" i="3"/>
  <c r="Q564" i="3" s="1"/>
  <c r="R564" i="3" s="1"/>
  <c r="S564" i="3" s="1"/>
  <c r="AC564" i="3"/>
  <c r="AA564" i="3"/>
  <c r="L563" i="3" l="1"/>
  <c r="U563" i="3" s="1"/>
  <c r="AD563" i="3"/>
  <c r="T564" i="3"/>
  <c r="AH564" i="3" s="1"/>
  <c r="Y562" i="3" l="1"/>
  <c r="D564" i="3"/>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U564" i="3" l="1"/>
  <c r="Y563" i="3"/>
  <c r="T565" i="3"/>
  <c r="E565" i="3" l="1"/>
  <c r="H565" i="3" s="1"/>
  <c r="K565" i="3" s="1"/>
  <c r="AE565" i="3" s="1"/>
  <c r="D565" i="3"/>
  <c r="AG565" i="3"/>
  <c r="AH565" i="3"/>
  <c r="V565" i="3" l="1"/>
  <c r="A566" i="3"/>
  <c r="B566" i="3" s="1"/>
  <c r="F565" i="3"/>
  <c r="G565" i="3"/>
  <c r="I565" i="3" l="1"/>
  <c r="W565" i="3" s="1"/>
  <c r="J565" i="3"/>
  <c r="AD565" i="3" s="1"/>
  <c r="M565" i="3"/>
  <c r="N565" i="3" s="1"/>
  <c r="Z566" i="3"/>
  <c r="AA566" i="3"/>
  <c r="P566" i="3"/>
  <c r="Q566" i="3" s="1"/>
  <c r="R566" i="3" s="1"/>
  <c r="S566" i="3" s="1"/>
  <c r="AC566" i="3"/>
  <c r="L565" i="3" l="1"/>
  <c r="T566" i="3"/>
  <c r="AG566" i="3" l="1"/>
  <c r="AH566" i="3"/>
  <c r="U565" i="3"/>
  <c r="D566" i="3" s="1"/>
  <c r="Y564" i="3"/>
  <c r="G566" i="3" l="1"/>
  <c r="E566" i="3"/>
  <c r="H566" i="3" s="1"/>
  <c r="F566" i="3" l="1"/>
  <c r="I566" i="3"/>
  <c r="J566" i="3"/>
  <c r="AD566" i="3" s="1"/>
  <c r="M566" i="3"/>
  <c r="N566" i="3" s="1"/>
  <c r="K566" i="3"/>
  <c r="AE566" i="3" s="1"/>
  <c r="V566" i="3" l="1"/>
  <c r="W566" i="3" s="1"/>
  <c r="A567" i="3"/>
  <c r="B567" i="3" s="1"/>
  <c r="L566" i="3"/>
  <c r="U566" i="3" l="1"/>
  <c r="Y565" i="3"/>
  <c r="P567" i="3"/>
  <c r="Q567" i="3" s="1"/>
  <c r="R567" i="3" s="1"/>
  <c r="S567" i="3" s="1"/>
  <c r="AA567" i="3"/>
  <c r="Z567" i="3"/>
  <c r="AC567" i="3"/>
  <c r="T567" i="3" l="1"/>
  <c r="AG567" i="3" s="1"/>
  <c r="AH567" i="3" l="1"/>
  <c r="E567" i="3"/>
  <c r="H567" i="3" s="1"/>
  <c r="K567" i="3" s="1"/>
  <c r="AE567" i="3" s="1"/>
  <c r="D567" i="3"/>
  <c r="G567" i="3" s="1"/>
  <c r="F567" i="3" l="1"/>
  <c r="I567" i="3"/>
  <c r="J567" i="3"/>
  <c r="AD567" i="3" s="1"/>
  <c r="M567" i="3"/>
  <c r="N567" i="3" s="1"/>
  <c r="V567" i="3"/>
  <c r="A568" i="3"/>
  <c r="B568" i="3" s="1"/>
  <c r="W567" i="3" l="1"/>
  <c r="L567" i="3"/>
  <c r="AC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AD568" i="3" s="1"/>
  <c r="M568" i="3"/>
  <c r="N568" i="3" s="1"/>
  <c r="L568" i="3" l="1"/>
  <c r="W568" i="3"/>
  <c r="AA569" i="3"/>
  <c r="P569" i="3"/>
  <c r="Q569" i="3" s="1"/>
  <c r="R569" i="3" s="1"/>
  <c r="S569" i="3" s="1"/>
  <c r="AC569" i="3"/>
  <c r="Z569" i="3"/>
  <c r="T569" i="3" l="1"/>
  <c r="AH569" i="3" s="1"/>
  <c r="U568" i="3"/>
  <c r="Y567" i="3"/>
  <c r="D569" i="3" l="1"/>
  <c r="G569" i="3" s="1"/>
  <c r="AG569" i="3"/>
  <c r="E569" i="3"/>
  <c r="H569" i="3" s="1"/>
  <c r="F569" i="3" l="1"/>
  <c r="I569" i="3"/>
  <c r="J569" i="3"/>
  <c r="AD569" i="3" s="1"/>
  <c r="M569" i="3"/>
  <c r="N569" i="3" s="1"/>
  <c r="K569" i="3"/>
  <c r="AE569" i="3" s="1"/>
  <c r="L569" i="3" l="1"/>
  <c r="V569" i="3"/>
  <c r="W569" i="3" s="1"/>
  <c r="A570" i="3"/>
  <c r="B570" i="3" s="1"/>
  <c r="AC570" i="3" l="1"/>
  <c r="P570" i="3"/>
  <c r="Q570" i="3" s="1"/>
  <c r="R570" i="3" s="1"/>
  <c r="S570" i="3" s="1"/>
  <c r="Z570" i="3"/>
  <c r="AA570" i="3"/>
  <c r="U569" i="3"/>
  <c r="Y568" i="3"/>
  <c r="T570" i="3" l="1"/>
  <c r="D570" i="3" l="1"/>
  <c r="E570" i="3"/>
  <c r="H570" i="3" s="1"/>
  <c r="AG570" i="3"/>
  <c r="AH570" i="3"/>
  <c r="F570" i="3" l="1"/>
  <c r="G570" i="3"/>
  <c r="K570" i="3"/>
  <c r="AE570" i="3" s="1"/>
  <c r="V570" i="3" l="1"/>
  <c r="A571" i="3"/>
  <c r="B571" i="3" s="1"/>
  <c r="I570" i="3"/>
  <c r="J570" i="3"/>
  <c r="AD570" i="3" s="1"/>
  <c r="M570" i="3"/>
  <c r="N570" i="3" s="1"/>
  <c r="W570" i="3" l="1"/>
  <c r="L570" i="3"/>
  <c r="P571" i="3"/>
  <c r="Q571" i="3" s="1"/>
  <c r="R571" i="3" s="1"/>
  <c r="S571" i="3" s="1"/>
  <c r="AA571" i="3"/>
  <c r="Z571" i="3"/>
  <c r="AC571" i="3"/>
  <c r="U570" i="3" l="1"/>
  <c r="Y569" i="3"/>
  <c r="T571" i="3"/>
  <c r="D571" i="3" l="1"/>
  <c r="G571" i="3" s="1"/>
  <c r="AG571" i="3"/>
  <c r="AH571" i="3"/>
  <c r="E571" i="3"/>
  <c r="H571" i="3" s="1"/>
  <c r="K571" i="3" s="1"/>
  <c r="AE571" i="3" s="1"/>
  <c r="F571" i="3" l="1"/>
  <c r="V571" i="3"/>
  <c r="A572" i="3"/>
  <c r="B572" i="3" s="1"/>
  <c r="I571" i="3"/>
  <c r="J571" i="3"/>
  <c r="AD571" i="3" s="1"/>
  <c r="M571" i="3"/>
  <c r="N571" i="3" s="1"/>
  <c r="W571" i="3" l="1"/>
  <c r="L571" i="3"/>
  <c r="AC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AD572" i="3" s="1"/>
  <c r="M572" i="3"/>
  <c r="N572" i="3" s="1"/>
  <c r="W572" i="3" l="1"/>
  <c r="L572" i="3"/>
  <c r="P573" i="3"/>
  <c r="Q573" i="3" s="1"/>
  <c r="R573" i="3" s="1"/>
  <c r="S573" i="3" s="1"/>
  <c r="Z573" i="3"/>
  <c r="AC573" i="3"/>
  <c r="AA573" i="3"/>
  <c r="U572" i="3" l="1"/>
  <c r="Y571" i="3"/>
  <c r="T573" i="3"/>
  <c r="E573" i="3" l="1"/>
  <c r="H573" i="3" s="1"/>
  <c r="K573" i="3" s="1"/>
  <c r="AE573" i="3" s="1"/>
  <c r="D573" i="3"/>
  <c r="AH573" i="3"/>
  <c r="AG573" i="3"/>
  <c r="F573" i="3" l="1"/>
  <c r="G573" i="3"/>
  <c r="I573" i="3" s="1"/>
  <c r="V573" i="3"/>
  <c r="A574" i="3"/>
  <c r="B574" i="3" s="1"/>
  <c r="J573" i="3" l="1"/>
  <c r="M573" i="3"/>
  <c r="N573" i="3" s="1"/>
  <c r="W573" i="3"/>
  <c r="AA574" i="3"/>
  <c r="Z574" i="3"/>
  <c r="P574" i="3"/>
  <c r="Q574" i="3" s="1"/>
  <c r="R574" i="3" s="1"/>
  <c r="S574" i="3" s="1"/>
  <c r="AC574" i="3"/>
  <c r="L573" i="3" l="1"/>
  <c r="U573" i="3" s="1"/>
  <c r="AD573" i="3"/>
  <c r="T574" i="3"/>
  <c r="AH574" i="3" l="1"/>
  <c r="Y572" i="3"/>
  <c r="D574" i="3"/>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T575" i="3" l="1"/>
  <c r="AH575" i="3" s="1"/>
  <c r="AG575" i="3" l="1"/>
  <c r="E575" i="3"/>
  <c r="H575" i="3" s="1"/>
  <c r="D575" i="3"/>
  <c r="K575" i="3" l="1"/>
  <c r="AE575" i="3" s="1"/>
  <c r="F575" i="3"/>
  <c r="G575" i="3"/>
  <c r="V575" i="3" l="1"/>
  <c r="A576" i="3"/>
  <c r="B576" i="3" s="1"/>
  <c r="I575" i="3"/>
  <c r="J575" i="3"/>
  <c r="AD575" i="3" s="1"/>
  <c r="M575" i="3"/>
  <c r="N575" i="3" s="1"/>
  <c r="W575" i="3" l="1"/>
  <c r="L575" i="3"/>
  <c r="AA576" i="3"/>
  <c r="P576" i="3"/>
  <c r="Q576" i="3" s="1"/>
  <c r="R576" i="3" s="1"/>
  <c r="S576" i="3" s="1"/>
  <c r="Z576" i="3"/>
  <c r="AC576" i="3"/>
  <c r="U575" i="3" l="1"/>
  <c r="Y574" i="3"/>
  <c r="T576" i="3"/>
  <c r="E576" i="3" l="1"/>
  <c r="H576" i="3" s="1"/>
  <c r="K576" i="3" s="1"/>
  <c r="AE576" i="3" s="1"/>
  <c r="AH576" i="3"/>
  <c r="D576" i="3"/>
  <c r="G576" i="3" s="1"/>
  <c r="AG576" i="3"/>
  <c r="F576" i="3" l="1"/>
  <c r="V576" i="3"/>
  <c r="A577" i="3"/>
  <c r="B577" i="3" s="1"/>
  <c r="I576" i="3"/>
  <c r="J576" i="3"/>
  <c r="AD576" i="3" s="1"/>
  <c r="M576" i="3"/>
  <c r="N576" i="3" s="1"/>
  <c r="W576" i="3" l="1"/>
  <c r="L576" i="3"/>
  <c r="P577" i="3"/>
  <c r="Q577" i="3" s="1"/>
  <c r="R577" i="3" s="1"/>
  <c r="S577" i="3" s="1"/>
  <c r="AC577" i="3"/>
  <c r="AA577" i="3"/>
  <c r="Z577" i="3"/>
  <c r="U576" i="3" l="1"/>
  <c r="Y575" i="3"/>
  <c r="T577" i="3"/>
  <c r="AH577" i="3" s="1"/>
  <c r="E577" i="3" l="1"/>
  <c r="H577" i="3" s="1"/>
  <c r="K577" i="3" s="1"/>
  <c r="AE577" i="3" s="1"/>
  <c r="AG577" i="3"/>
  <c r="D577" i="3"/>
  <c r="F577" i="3" l="1"/>
  <c r="G577" i="3"/>
  <c r="J577" i="3" s="1"/>
  <c r="AD577" i="3" s="1"/>
  <c r="V577" i="3"/>
  <c r="A578" i="3"/>
  <c r="B578" i="3" s="1"/>
  <c r="M577" i="3" l="1"/>
  <c r="N577" i="3" s="1"/>
  <c r="I577" i="3"/>
  <c r="W577" i="3" s="1"/>
  <c r="L577" i="3"/>
  <c r="AC578" i="3"/>
  <c r="P578" i="3"/>
  <c r="Q578" i="3" s="1"/>
  <c r="R578" i="3" s="1"/>
  <c r="S578" i="3" s="1"/>
  <c r="Z578" i="3"/>
  <c r="AA578" i="3"/>
  <c r="U577" i="3" l="1"/>
  <c r="Y576" i="3"/>
  <c r="T578" i="3"/>
  <c r="AG578" i="3" s="1"/>
  <c r="D578" i="3" l="1"/>
  <c r="G578" i="3" s="1"/>
  <c r="AH578" i="3"/>
  <c r="E578" i="3"/>
  <c r="H578" i="3" s="1"/>
  <c r="K578" i="3" s="1"/>
  <c r="AE578" i="3" s="1"/>
  <c r="F578" i="3" l="1"/>
  <c r="I578" i="3"/>
  <c r="J578" i="3"/>
  <c r="AD578" i="3" s="1"/>
  <c r="M578" i="3"/>
  <c r="N578" i="3" s="1"/>
  <c r="V578" i="3"/>
  <c r="A579" i="3"/>
  <c r="B579" i="3" s="1"/>
  <c r="W578" i="3" l="1"/>
  <c r="L578" i="3"/>
  <c r="AC579" i="3"/>
  <c r="Z579" i="3"/>
  <c r="P579" i="3"/>
  <c r="Q579" i="3" s="1"/>
  <c r="R579" i="3" s="1"/>
  <c r="S579" i="3" s="1"/>
  <c r="AA579" i="3"/>
  <c r="U578" i="3" l="1"/>
  <c r="Y577" i="3"/>
  <c r="T579" i="3"/>
  <c r="AG579" i="3" s="1"/>
  <c r="E579" i="3" l="1"/>
  <c r="H579" i="3" s="1"/>
  <c r="K579" i="3" s="1"/>
  <c r="AE579" i="3" s="1"/>
  <c r="AH579" i="3"/>
  <c r="D579" i="3"/>
  <c r="F579" i="3" l="1"/>
  <c r="G579" i="3"/>
  <c r="M579" i="3" s="1"/>
  <c r="N579" i="3" s="1"/>
  <c r="V579" i="3"/>
  <c r="A580" i="3"/>
  <c r="B580" i="3" s="1"/>
  <c r="I579" i="3" l="1"/>
  <c r="W579" i="3" s="1"/>
  <c r="J579" i="3"/>
  <c r="P580" i="3"/>
  <c r="Q580" i="3" s="1"/>
  <c r="R580" i="3" s="1"/>
  <c r="S580" i="3" s="1"/>
  <c r="AA580" i="3"/>
  <c r="AC580" i="3"/>
  <c r="Z580" i="3"/>
  <c r="L579" i="3" l="1"/>
  <c r="Y578" i="3" s="1"/>
  <c r="AD579" i="3"/>
  <c r="T580" i="3"/>
  <c r="AH580" i="3" l="1"/>
  <c r="U579" i="3"/>
  <c r="E580" i="3" s="1"/>
  <c r="H580" i="3" s="1"/>
  <c r="AG580" i="3"/>
  <c r="D580" i="3" l="1"/>
  <c r="G580" i="3" s="1"/>
  <c r="K580" i="3"/>
  <c r="AE580" i="3" s="1"/>
  <c r="F580" i="3" l="1"/>
  <c r="I580" i="3"/>
  <c r="J580" i="3"/>
  <c r="AD580" i="3" s="1"/>
  <c r="M580" i="3"/>
  <c r="N580" i="3" s="1"/>
  <c r="V580" i="3"/>
  <c r="A581" i="3"/>
  <c r="B581" i="3" s="1"/>
  <c r="W580" i="3" l="1"/>
  <c r="P581" i="3"/>
  <c r="Q581" i="3" s="1"/>
  <c r="R581" i="3" s="1"/>
  <c r="S581" i="3" s="1"/>
  <c r="Z581" i="3"/>
  <c r="AA581" i="3"/>
  <c r="AC581" i="3"/>
  <c r="L580" i="3"/>
  <c r="T581" i="3" l="1"/>
  <c r="AH581" i="3" s="1"/>
  <c r="U580" i="3"/>
  <c r="Y579" i="3"/>
  <c r="D581" i="3" l="1"/>
  <c r="G581" i="3" s="1"/>
  <c r="AG581" i="3"/>
  <c r="E581" i="3"/>
  <c r="H581" i="3" s="1"/>
  <c r="I581" i="3" l="1"/>
  <c r="J581" i="3"/>
  <c r="AD581" i="3" s="1"/>
  <c r="M581" i="3"/>
  <c r="N581" i="3" s="1"/>
  <c r="F581" i="3"/>
  <c r="K581" i="3"/>
  <c r="AE581" i="3" s="1"/>
  <c r="L581" i="3" l="1"/>
  <c r="V581" i="3"/>
  <c r="W581" i="3" s="1"/>
  <c r="A582" i="3"/>
  <c r="B582" i="3" s="1"/>
  <c r="P582" i="3" l="1"/>
  <c r="Q582" i="3" s="1"/>
  <c r="R582" i="3" s="1"/>
  <c r="S582" i="3" s="1"/>
  <c r="Z582" i="3"/>
  <c r="AC582" i="3"/>
  <c r="AA582" i="3"/>
  <c r="U581" i="3"/>
  <c r="Y580" i="3"/>
  <c r="T582" i="3" l="1"/>
  <c r="AH582" i="3" s="1"/>
  <c r="E582" i="3" l="1"/>
  <c r="H582" i="3" s="1"/>
  <c r="K582" i="3" s="1"/>
  <c r="AE582" i="3" s="1"/>
  <c r="AG582" i="3"/>
  <c r="D582" i="3"/>
  <c r="V582" i="3" l="1"/>
  <c r="A583" i="3"/>
  <c r="B583" i="3" s="1"/>
  <c r="F582" i="3"/>
  <c r="G582" i="3"/>
  <c r="I582" i="3" l="1"/>
  <c r="W582" i="3" s="1"/>
  <c r="J582" i="3"/>
  <c r="AD582" i="3" s="1"/>
  <c r="M582" i="3"/>
  <c r="N582" i="3" s="1"/>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AD583" i="3" s="1"/>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AD587" i="3" s="1"/>
  <c r="M587" i="3"/>
  <c r="N587" i="3" s="1"/>
  <c r="L587" i="3" l="1"/>
  <c r="V587" i="3"/>
  <c r="W587" i="3" s="1"/>
  <c r="A588" i="3"/>
  <c r="B588" i="3" s="1"/>
  <c r="U587" i="3" l="1"/>
  <c r="Y586" i="3"/>
  <c r="P588" i="3"/>
  <c r="Q588" i="3" s="1"/>
  <c r="R588" i="3" s="1"/>
  <c r="S588" i="3" s="1"/>
  <c r="Z588" i="3"/>
  <c r="AC588" i="3"/>
  <c r="AA588" i="3"/>
  <c r="T588" i="3" l="1"/>
  <c r="AH588" i="3" s="1"/>
  <c r="E588" i="3" l="1"/>
  <c r="H588" i="3" s="1"/>
  <c r="K588" i="3" s="1"/>
  <c r="AE588" i="3" s="1"/>
  <c r="AG588" i="3"/>
  <c r="D588" i="3"/>
  <c r="G588" i="3" s="1"/>
  <c r="F588" i="3" l="1"/>
  <c r="I588" i="3"/>
  <c r="J588" i="3"/>
  <c r="AD588" i="3" s="1"/>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T595" i="3" l="1"/>
  <c r="L594" i="3"/>
  <c r="AH595" i="3" l="1"/>
  <c r="U594" i="3"/>
  <c r="E595" i="3" s="1"/>
  <c r="H595" i="3" s="1"/>
  <c r="AG595" i="3"/>
  <c r="Y593" i="3"/>
  <c r="D595" i="3" l="1"/>
  <c r="G595" i="3" s="1"/>
  <c r="K595" i="3"/>
  <c r="AE595" i="3" s="1"/>
  <c r="F595" i="3" l="1"/>
  <c r="V595" i="3"/>
  <c r="A596" i="3"/>
  <c r="B596" i="3" s="1"/>
  <c r="I595" i="3"/>
  <c r="J595" i="3"/>
  <c r="AD595" i="3" s="1"/>
  <c r="M595" i="3"/>
  <c r="N595" i="3" s="1"/>
  <c r="W595" i="3" l="1"/>
  <c r="L595" i="3"/>
  <c r="P596" i="3"/>
  <c r="Q596" i="3" s="1"/>
  <c r="R596" i="3" s="1"/>
  <c r="S596" i="3" s="1"/>
  <c r="AA596" i="3"/>
  <c r="AC596" i="3"/>
  <c r="Z596" i="3"/>
  <c r="T596" i="3" l="1"/>
  <c r="AG596" i="3" s="1"/>
  <c r="U595" i="3"/>
  <c r="Y594" i="3"/>
  <c r="D596" i="3" l="1"/>
  <c r="E596" i="3"/>
  <c r="H596" i="3" s="1"/>
  <c r="AH596" i="3"/>
  <c r="F596" i="3" l="1"/>
  <c r="G596" i="3"/>
  <c r="K596" i="3"/>
  <c r="AE596" i="3" s="1"/>
  <c r="V596" i="3" l="1"/>
  <c r="A597" i="3"/>
  <c r="B597" i="3" s="1"/>
  <c r="I596" i="3"/>
  <c r="J596" i="3"/>
  <c r="AD596" i="3" s="1"/>
  <c r="M596" i="3"/>
  <c r="N596" i="3" s="1"/>
  <c r="W596" i="3" l="1"/>
  <c r="L596" i="3"/>
  <c r="Z597" i="3"/>
  <c r="P597" i="3"/>
  <c r="Q597" i="3" s="1"/>
  <c r="R597" i="3" s="1"/>
  <c r="S597" i="3" s="1"/>
  <c r="AA597" i="3"/>
  <c r="AC597" i="3"/>
  <c r="U596" i="3" l="1"/>
  <c r="Y595" i="3"/>
  <c r="T597" i="3"/>
  <c r="E597" i="3" l="1"/>
  <c r="H597" i="3" s="1"/>
  <c r="K597" i="3" s="1"/>
  <c r="AE597" i="3" s="1"/>
  <c r="AH597" i="3"/>
  <c r="AG597" i="3"/>
  <c r="D597" i="3"/>
  <c r="G597" i="3" s="1"/>
  <c r="F597" i="3" l="1"/>
  <c r="I597" i="3"/>
  <c r="J597" i="3"/>
  <c r="AD597" i="3" s="1"/>
  <c r="M597" i="3"/>
  <c r="N597" i="3" s="1"/>
  <c r="V597" i="3"/>
  <c r="A598" i="3"/>
  <c r="B598" i="3" s="1"/>
  <c r="W597" i="3" l="1"/>
  <c r="L597" i="3"/>
  <c r="AC598" i="3"/>
  <c r="P598" i="3"/>
  <c r="Q598" i="3" s="1"/>
  <c r="R598" i="3" s="1"/>
  <c r="S598" i="3" s="1"/>
  <c r="Z598" i="3"/>
  <c r="AA598" i="3"/>
  <c r="U597" i="3" l="1"/>
  <c r="Y596" i="3"/>
  <c r="T598" i="3"/>
  <c r="AG598" i="3" s="1"/>
  <c r="AH598" i="3" l="1"/>
  <c r="E598" i="3"/>
  <c r="H598" i="3" s="1"/>
  <c r="K598" i="3" s="1"/>
  <c r="AE598" i="3" s="1"/>
  <c r="D598" i="3"/>
  <c r="V598" i="3" l="1"/>
  <c r="A599" i="3"/>
  <c r="B599" i="3" s="1"/>
  <c r="F598" i="3"/>
  <c r="G598" i="3"/>
  <c r="I598" i="3" l="1"/>
  <c r="W598" i="3" s="1"/>
  <c r="J598" i="3"/>
  <c r="AD598" i="3" s="1"/>
  <c r="M598" i="3"/>
  <c r="N598" i="3" s="1"/>
  <c r="AC599" i="3"/>
  <c r="AA599" i="3"/>
  <c r="P599" i="3"/>
  <c r="Q599" i="3" s="1"/>
  <c r="R599" i="3" s="1"/>
  <c r="S599" i="3" s="1"/>
  <c r="Z599" i="3"/>
  <c r="T599" i="3" l="1"/>
  <c r="L598" i="3"/>
  <c r="U598" i="3" l="1"/>
  <c r="D599" i="3" s="1"/>
  <c r="AG599" i="3"/>
  <c r="AH599" i="3"/>
  <c r="Y597" i="3"/>
  <c r="G599" i="3" l="1"/>
  <c r="E599" i="3"/>
  <c r="H599" i="3" s="1"/>
  <c r="I599" i="3" l="1"/>
  <c r="J599" i="3"/>
  <c r="AD599" i="3" s="1"/>
  <c r="M599" i="3"/>
  <c r="N599" i="3" s="1"/>
  <c r="K599" i="3"/>
  <c r="AE599" i="3" s="1"/>
  <c r="F599" i="3"/>
  <c r="V599" i="3" l="1"/>
  <c r="W599" i="3" s="1"/>
  <c r="A600" i="3"/>
  <c r="B600" i="3" s="1"/>
  <c r="L599" i="3"/>
  <c r="U599" i="3" l="1"/>
  <c r="Y598" i="3"/>
  <c r="AC600" i="3"/>
  <c r="P600" i="3"/>
  <c r="Q600" i="3" s="1"/>
  <c r="R600" i="3" s="1"/>
  <c r="S600" i="3" s="1"/>
  <c r="Z600" i="3"/>
  <c r="AA600" i="3"/>
  <c r="T600" i="3" l="1"/>
  <c r="E600" i="3" s="1"/>
  <c r="H600" i="3" s="1"/>
  <c r="AH600" i="3" l="1"/>
  <c r="K600" i="3"/>
  <c r="AE600" i="3" s="1"/>
  <c r="AG600" i="3"/>
  <c r="D600" i="3"/>
  <c r="V600" i="3" l="1"/>
  <c r="A601" i="3"/>
  <c r="B601" i="3" s="1"/>
  <c r="F600" i="3"/>
  <c r="G600" i="3"/>
  <c r="I600" i="3" l="1"/>
  <c r="W600" i="3" s="1"/>
  <c r="J600" i="3"/>
  <c r="AD600" i="3" s="1"/>
  <c r="M600" i="3"/>
  <c r="N600" i="3" s="1"/>
  <c r="P601" i="3"/>
  <c r="Q601" i="3" s="1"/>
  <c r="R601" i="3" s="1"/>
  <c r="S601" i="3" s="1"/>
  <c r="AA601" i="3"/>
  <c r="AC601" i="3"/>
  <c r="Z601" i="3"/>
  <c r="T601" i="3" l="1"/>
  <c r="L600" i="3"/>
  <c r="AH601" i="3" l="1"/>
  <c r="U600" i="3"/>
  <c r="D601" i="3" s="1"/>
  <c r="AG601" i="3"/>
  <c r="Y599" i="3"/>
  <c r="E601" i="3" l="1"/>
  <c r="H601" i="3" s="1"/>
  <c r="K601" i="3" s="1"/>
  <c r="AE601" i="3" s="1"/>
  <c r="G601" i="3"/>
  <c r="F601" i="3" l="1"/>
  <c r="I601" i="3"/>
  <c r="J601" i="3"/>
  <c r="AD601" i="3" s="1"/>
  <c r="M601" i="3"/>
  <c r="N601" i="3" s="1"/>
  <c r="V601" i="3"/>
  <c r="A602" i="3"/>
  <c r="B602" i="3" s="1"/>
  <c r="W601" i="3" l="1"/>
  <c r="L601" i="3"/>
  <c r="P602" i="3"/>
  <c r="Q602" i="3" s="1"/>
  <c r="R602" i="3" s="1"/>
  <c r="S602" i="3" s="1"/>
  <c r="Z602" i="3"/>
  <c r="AC602" i="3"/>
  <c r="AA602" i="3"/>
  <c r="U601" i="3" l="1"/>
  <c r="Y600" i="3"/>
  <c r="T602" i="3"/>
  <c r="AG602" i="3" s="1"/>
  <c r="D602" i="3" l="1"/>
  <c r="E602" i="3"/>
  <c r="H602" i="3" s="1"/>
  <c r="AH602" i="3"/>
  <c r="K602" i="3" l="1"/>
  <c r="AE602" i="3" s="1"/>
  <c r="F602" i="3"/>
  <c r="G602" i="3"/>
  <c r="I602" i="3" l="1"/>
  <c r="J602" i="3"/>
  <c r="AD602" i="3" s="1"/>
  <c r="M602" i="3"/>
  <c r="N602" i="3" s="1"/>
  <c r="V602" i="3"/>
  <c r="A603" i="3"/>
  <c r="B603" i="3" s="1"/>
  <c r="W602" i="3" l="1"/>
  <c r="L602" i="3"/>
  <c r="AA603" i="3"/>
  <c r="AC603" i="3"/>
  <c r="Z603" i="3"/>
  <c r="P603" i="3"/>
  <c r="Q603" i="3" s="1"/>
  <c r="R603" i="3" s="1"/>
  <c r="S603" i="3" s="1"/>
  <c r="U602" i="3" l="1"/>
  <c r="Y601" i="3"/>
  <c r="T603" i="3"/>
  <c r="AG603" i="3" s="1"/>
  <c r="AH603" i="3" l="1"/>
  <c r="D603" i="3"/>
  <c r="G603" i="3" s="1"/>
  <c r="E603" i="3"/>
  <c r="H603" i="3" s="1"/>
  <c r="K603" i="3" s="1"/>
  <c r="AE603" i="3" s="1"/>
  <c r="F603" i="3" l="1"/>
  <c r="I603" i="3"/>
  <c r="J603" i="3"/>
  <c r="AD603" i="3" s="1"/>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AD607" i="3" s="1"/>
  <c r="M607" i="3"/>
  <c r="N607" i="3" s="1"/>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AD608" i="3" s="1"/>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P617" i="3"/>
  <c r="Q617" i="3" s="1"/>
  <c r="R617" i="3" s="1"/>
  <c r="S617" i="3" s="1"/>
  <c r="AA617" i="3"/>
  <c r="U616" i="3" l="1"/>
  <c r="Y615" i="3"/>
  <c r="T617" i="3"/>
  <c r="AG617" i="3" s="1"/>
  <c r="D617" i="3" l="1"/>
  <c r="G617" i="3" s="1"/>
  <c r="E617" i="3"/>
  <c r="H617" i="3" s="1"/>
  <c r="K617" i="3" s="1"/>
  <c r="AE617" i="3" s="1"/>
  <c r="AH617" i="3"/>
  <c r="F617" i="3" l="1"/>
  <c r="I617" i="3"/>
  <c r="J617" i="3"/>
  <c r="AD617" i="3" s="1"/>
  <c r="M617" i="3"/>
  <c r="N617" i="3" s="1"/>
  <c r="V617" i="3"/>
  <c r="A618" i="3"/>
  <c r="B618" i="3" s="1"/>
  <c r="W617" i="3" l="1"/>
  <c r="L617" i="3"/>
  <c r="P618" i="3"/>
  <c r="Q618" i="3" s="1"/>
  <c r="R618" i="3" s="1"/>
  <c r="S618" i="3" s="1"/>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AD618" i="3" s="1"/>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A625" i="3"/>
  <c r="Z625" i="3"/>
  <c r="AC625" i="3"/>
  <c r="U624" i="3" l="1"/>
  <c r="Y623" i="3"/>
  <c r="T625" i="3"/>
  <c r="D625" i="3" l="1"/>
  <c r="G625" i="3" s="1"/>
  <c r="E625" i="3"/>
  <c r="H625" i="3" s="1"/>
  <c r="AH625" i="3"/>
  <c r="AG625" i="3"/>
  <c r="F625" i="3" l="1"/>
  <c r="I625" i="3"/>
  <c r="J625" i="3"/>
  <c r="AD625" i="3" s="1"/>
  <c r="M625" i="3"/>
  <c r="N625" i="3" s="1"/>
  <c r="K625" i="3"/>
  <c r="AE625" i="3" s="1"/>
  <c r="V625" i="3" l="1"/>
  <c r="W625" i="3" s="1"/>
  <c r="A626" i="3"/>
  <c r="B626" i="3" s="1"/>
  <c r="L625" i="3"/>
  <c r="U625" i="3" l="1"/>
  <c r="Y624"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AD626" i="3" s="1"/>
  <c r="M626" i="3"/>
  <c r="N626" i="3" s="1"/>
  <c r="Z627" i="3"/>
  <c r="P627" i="3"/>
  <c r="Q627" i="3" s="1"/>
  <c r="R627" i="3" s="1"/>
  <c r="S627" i="3" s="1"/>
  <c r="AC627" i="3"/>
  <c r="AA627" i="3"/>
  <c r="L626" i="3" l="1"/>
  <c r="T627" i="3"/>
  <c r="AG627" i="3" l="1"/>
  <c r="U626" i="3"/>
  <c r="D627" i="3" s="1"/>
  <c r="AH627" i="3"/>
  <c r="Y625" i="3"/>
  <c r="G627" i="3" l="1"/>
  <c r="E627" i="3"/>
  <c r="H627" i="3" s="1"/>
  <c r="K627" i="3" l="1"/>
  <c r="AE627" i="3" s="1"/>
  <c r="I627" i="3"/>
  <c r="J627" i="3"/>
  <c r="AD627" i="3" s="1"/>
  <c r="M627" i="3"/>
  <c r="N627" i="3" s="1"/>
  <c r="F627" i="3"/>
  <c r="L627" i="3" l="1"/>
  <c r="V627" i="3"/>
  <c r="W627" i="3" s="1"/>
  <c r="A628" i="3"/>
  <c r="B628" i="3" s="1"/>
  <c r="Z628" i="3" l="1"/>
  <c r="AA628" i="3"/>
  <c r="P628" i="3"/>
  <c r="Q628" i="3" s="1"/>
  <c r="R628" i="3" s="1"/>
  <c r="S628" i="3" s="1"/>
  <c r="AC628" i="3"/>
  <c r="U627" i="3"/>
  <c r="Y626" i="3"/>
  <c r="T628" i="3" l="1"/>
  <c r="D628" i="3" l="1"/>
  <c r="E628" i="3"/>
  <c r="H628" i="3" s="1"/>
  <c r="AG628" i="3"/>
  <c r="AH628" i="3"/>
  <c r="F628" i="3" l="1"/>
  <c r="G628" i="3"/>
  <c r="K628" i="3"/>
  <c r="AE628" i="3" s="1"/>
  <c r="I628" i="3" l="1"/>
  <c r="J628" i="3"/>
  <c r="AD628" i="3" s="1"/>
  <c r="M628" i="3"/>
  <c r="N628" i="3" s="1"/>
  <c r="V628" i="3"/>
  <c r="A629" i="3"/>
  <c r="B629" i="3" s="1"/>
  <c r="W628" i="3" l="1"/>
  <c r="L628" i="3"/>
  <c r="AC629" i="3"/>
  <c r="AA629" i="3"/>
  <c r="P629" i="3"/>
  <c r="Q629" i="3" s="1"/>
  <c r="R629" i="3" s="1"/>
  <c r="S629" i="3" s="1"/>
  <c r="Z629" i="3"/>
  <c r="T629" i="3" l="1"/>
  <c r="U628" i="3"/>
  <c r="Y627" i="3"/>
  <c r="E629" i="3" l="1"/>
  <c r="H629" i="3" s="1"/>
  <c r="K629" i="3" s="1"/>
  <c r="AE629" i="3" s="1"/>
  <c r="AH629" i="3"/>
  <c r="AG629" i="3"/>
  <c r="D629" i="3"/>
  <c r="F629" i="3" l="1"/>
  <c r="G629" i="3"/>
  <c r="V629" i="3"/>
  <c r="A630" i="3"/>
  <c r="B630" i="3" s="1"/>
  <c r="I629" i="3" l="1"/>
  <c r="W629" i="3" s="1"/>
  <c r="J629" i="3"/>
  <c r="AD629" i="3" s="1"/>
  <c r="M629" i="3"/>
  <c r="N629" i="3" s="1"/>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AD630" i="3" s="1"/>
  <c r="M630" i="3"/>
  <c r="N630" i="3" s="1"/>
  <c r="V630" i="3" l="1"/>
  <c r="W630" i="3" s="1"/>
  <c r="A631" i="3"/>
  <c r="B631" i="3" s="1"/>
  <c r="L630" i="3"/>
  <c r="U630" i="3" l="1"/>
  <c r="Y629" i="3"/>
  <c r="P631" i="3"/>
  <c r="Q631" i="3" s="1"/>
  <c r="R631" i="3" s="1"/>
  <c r="S631" i="3" s="1"/>
  <c r="AC631" i="3"/>
  <c r="AA631" i="3"/>
  <c r="Z631" i="3"/>
  <c r="T631" i="3" l="1"/>
  <c r="D631" i="3" s="1"/>
  <c r="AH631" i="3" l="1"/>
  <c r="E631" i="3"/>
  <c r="H631" i="3" s="1"/>
  <c r="K631" i="3" s="1"/>
  <c r="AE631" i="3" s="1"/>
  <c r="G631" i="3"/>
  <c r="AG631" i="3"/>
  <c r="F631" i="3" l="1"/>
  <c r="I631" i="3"/>
  <c r="J631" i="3"/>
  <c r="AD631" i="3" s="1"/>
  <c r="M631" i="3"/>
  <c r="N631" i="3" s="1"/>
  <c r="V631" i="3"/>
  <c r="A632" i="3"/>
  <c r="B632" i="3" s="1"/>
  <c r="L631" i="3" l="1"/>
  <c r="W631" i="3"/>
  <c r="AC632" i="3"/>
  <c r="AA632" i="3"/>
  <c r="Z632" i="3"/>
  <c r="P632" i="3"/>
  <c r="Q632" i="3" s="1"/>
  <c r="R632" i="3" s="1"/>
  <c r="S632" i="3" s="1"/>
  <c r="T632" i="3" l="1"/>
  <c r="U631" i="3"/>
  <c r="Y630" i="3"/>
  <c r="D632" i="3" l="1"/>
  <c r="G632" i="3" s="1"/>
  <c r="E632" i="3"/>
  <c r="H632" i="3" s="1"/>
  <c r="K632" i="3" s="1"/>
  <c r="AE632" i="3" s="1"/>
  <c r="AG632" i="3"/>
  <c r="AH632" i="3"/>
  <c r="F632" i="3" l="1"/>
  <c r="I632" i="3"/>
  <c r="J632" i="3"/>
  <c r="AD632" i="3" s="1"/>
  <c r="M632" i="3"/>
  <c r="N632" i="3" s="1"/>
  <c r="V632" i="3"/>
  <c r="A633" i="3"/>
  <c r="B633" i="3" s="1"/>
  <c r="W632" i="3" l="1"/>
  <c r="L632"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AD633" i="3" s="1"/>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A637" i="3"/>
  <c r="U636" i="3" l="1"/>
  <c r="Y635" i="3"/>
  <c r="T637" i="3"/>
  <c r="AG637" i="3" s="1"/>
  <c r="D637" i="3" l="1"/>
  <c r="AH637" i="3"/>
  <c r="E637" i="3"/>
  <c r="H637" i="3" s="1"/>
  <c r="F637" i="3" l="1"/>
  <c r="G637" i="3"/>
  <c r="K637" i="3"/>
  <c r="AE637" i="3" s="1"/>
  <c r="I637" i="3" l="1"/>
  <c r="J637" i="3"/>
  <c r="AD637" i="3" s="1"/>
  <c r="M637" i="3"/>
  <c r="N637" i="3" s="1"/>
  <c r="V637" i="3"/>
  <c r="A638" i="3"/>
  <c r="B638" i="3" s="1"/>
  <c r="W637" i="3" l="1"/>
  <c r="L637" i="3"/>
  <c r="P638" i="3"/>
  <c r="Q638" i="3" s="1"/>
  <c r="R638" i="3" s="1"/>
  <c r="S638" i="3" s="1"/>
  <c r="AC638" i="3"/>
  <c r="AA638" i="3"/>
  <c r="Z638" i="3"/>
  <c r="T638" i="3" l="1"/>
  <c r="AG638" i="3" s="1"/>
  <c r="U637" i="3"/>
  <c r="Y636" i="3"/>
  <c r="D638" i="3" l="1"/>
  <c r="G638" i="3" s="1"/>
  <c r="E638" i="3"/>
  <c r="H638" i="3" s="1"/>
  <c r="AH638" i="3"/>
  <c r="F638" i="3" l="1"/>
  <c r="I638" i="3"/>
  <c r="J638" i="3"/>
  <c r="AD638" i="3" s="1"/>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Z647" i="3"/>
  <c r="U646" i="3" l="1"/>
  <c r="Y645" i="3"/>
  <c r="T647" i="3"/>
  <c r="AG647" i="3" s="1"/>
  <c r="E647" i="3" l="1"/>
  <c r="H647" i="3" s="1"/>
  <c r="D647" i="3"/>
  <c r="AH647" i="3"/>
  <c r="F647" i="3" l="1"/>
  <c r="G647" i="3"/>
  <c r="K647" i="3"/>
  <c r="AE647" i="3" s="1"/>
  <c r="V647" i="3" l="1"/>
  <c r="A648" i="3"/>
  <c r="B648" i="3" s="1"/>
  <c r="I647" i="3"/>
  <c r="J647" i="3"/>
  <c r="AD647" i="3" s="1"/>
  <c r="M647" i="3"/>
  <c r="N647" i="3" s="1"/>
  <c r="W647" i="3" l="1"/>
  <c r="L647" i="3"/>
  <c r="AC648" i="3"/>
  <c r="AA648" i="3"/>
  <c r="P648" i="3"/>
  <c r="Q648" i="3" s="1"/>
  <c r="R648" i="3" s="1"/>
  <c r="S648" i="3" s="1"/>
  <c r="Z648" i="3"/>
  <c r="T648" i="3" l="1"/>
  <c r="AH648" i="3" s="1"/>
  <c r="U647" i="3"/>
  <c r="Y646" i="3"/>
  <c r="D648" i="3" l="1"/>
  <c r="AG648" i="3"/>
  <c r="E648" i="3"/>
  <c r="H648" i="3" s="1"/>
  <c r="F648" i="3" l="1"/>
  <c r="G648" i="3"/>
  <c r="K648" i="3"/>
  <c r="AE648" i="3" s="1"/>
  <c r="I648" i="3" l="1"/>
  <c r="J648" i="3"/>
  <c r="AD648" i="3" s="1"/>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P657" i="3"/>
  <c r="Q657" i="3" s="1"/>
  <c r="R657" i="3" s="1"/>
  <c r="S657" i="3" s="1"/>
  <c r="AA657" i="3"/>
  <c r="Z657" i="3"/>
  <c r="L656" i="3" l="1"/>
  <c r="T657" i="3"/>
  <c r="AH657" i="3" l="1"/>
  <c r="U656" i="3"/>
  <c r="E657" i="3" s="1"/>
  <c r="H657" i="3" s="1"/>
  <c r="AG657" i="3"/>
  <c r="Y655" i="3"/>
  <c r="D657" i="3" l="1"/>
  <c r="G657" i="3" s="1"/>
  <c r="K657" i="3"/>
  <c r="AE657" i="3" s="1"/>
  <c r="F657" i="3" l="1"/>
  <c r="I657" i="3"/>
  <c r="J657" i="3"/>
  <c r="AD657" i="3" s="1"/>
  <c r="M657" i="3"/>
  <c r="N657" i="3" s="1"/>
  <c r="V657" i="3"/>
  <c r="A658" i="3"/>
  <c r="B658" i="3" s="1"/>
  <c r="W657" i="3" l="1"/>
  <c r="L657" i="3"/>
  <c r="AC658" i="3"/>
  <c r="Z658" i="3"/>
  <c r="AA658" i="3"/>
  <c r="P658" i="3"/>
  <c r="Q658" i="3" s="1"/>
  <c r="R658" i="3" s="1"/>
  <c r="S658" i="3" s="1"/>
  <c r="U657" i="3" l="1"/>
  <c r="Y656" i="3"/>
  <c r="T658" i="3"/>
  <c r="AG658" i="3" s="1"/>
  <c r="E658" i="3" l="1"/>
  <c r="H658" i="3" s="1"/>
  <c r="D658" i="3"/>
  <c r="AH658" i="3"/>
  <c r="K658" i="3" l="1"/>
  <c r="AE658" i="3" s="1"/>
  <c r="F658" i="3"/>
  <c r="G658" i="3"/>
  <c r="I658" i="3" l="1"/>
  <c r="J658" i="3"/>
  <c r="AD658" i="3" s="1"/>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A667" i="3"/>
  <c r="U666" i="3" l="1"/>
  <c r="Y665" i="3"/>
  <c r="T667" i="3"/>
  <c r="AG667" i="3" s="1"/>
  <c r="D667" i="3" l="1"/>
  <c r="E667" i="3"/>
  <c r="H667" i="3" s="1"/>
  <c r="AH667" i="3"/>
  <c r="F667" i="3" l="1"/>
  <c r="G667" i="3"/>
  <c r="K667" i="3"/>
  <c r="AE667" i="3" s="1"/>
  <c r="I667" i="3" l="1"/>
  <c r="J667" i="3"/>
  <c r="AD667" i="3" s="1"/>
  <c r="M667" i="3"/>
  <c r="N667" i="3" s="1"/>
  <c r="V667" i="3"/>
  <c r="A668" i="3"/>
  <c r="B668" i="3" s="1"/>
  <c r="W667" i="3" l="1"/>
  <c r="L667" i="3"/>
  <c r="Z668" i="3"/>
  <c r="P668" i="3"/>
  <c r="Q668" i="3" s="1"/>
  <c r="R668" i="3" s="1"/>
  <c r="S668" i="3" s="1"/>
  <c r="AC668" i="3"/>
  <c r="AA668" i="3"/>
  <c r="T668" i="3" l="1"/>
  <c r="AH668" i="3" s="1"/>
  <c r="U667" i="3"/>
  <c r="Y666" i="3"/>
  <c r="D668" i="3" l="1"/>
  <c r="G668" i="3" s="1"/>
  <c r="AG668" i="3"/>
  <c r="E668" i="3"/>
  <c r="H668" i="3" s="1"/>
  <c r="F668" i="3" l="1"/>
  <c r="I668" i="3"/>
  <c r="J668" i="3"/>
  <c r="AD668" i="3" s="1"/>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A675" i="3"/>
  <c r="AC675" i="3"/>
  <c r="Z675" i="3"/>
  <c r="U674" i="3" l="1"/>
  <c r="Y673" i="3"/>
  <c r="T675" i="3"/>
  <c r="AH675" i="3" s="1"/>
  <c r="AG675" i="3" l="1"/>
  <c r="D675" i="3"/>
  <c r="E675" i="3"/>
  <c r="H675" i="3" s="1"/>
  <c r="F675" i="3" l="1"/>
  <c r="G675" i="3"/>
  <c r="K675" i="3"/>
  <c r="AE675" i="3" s="1"/>
  <c r="I675" i="3" l="1"/>
  <c r="J675" i="3"/>
  <c r="AD675" i="3" s="1"/>
  <c r="M675" i="3"/>
  <c r="N675" i="3" s="1"/>
  <c r="V675" i="3"/>
  <c r="A676" i="3"/>
  <c r="B676" i="3" s="1"/>
  <c r="W675" i="3" l="1"/>
  <c r="L675" i="3"/>
  <c r="AC676" i="3"/>
  <c r="P676" i="3"/>
  <c r="Q676" i="3" s="1"/>
  <c r="R676" i="3" s="1"/>
  <c r="S676" i="3" s="1"/>
  <c r="Z676" i="3"/>
  <c r="AA676" i="3"/>
  <c r="T676" i="3" l="1"/>
  <c r="U675" i="3"/>
  <c r="Y674" i="3"/>
  <c r="E676" i="3" l="1"/>
  <c r="H676" i="3" s="1"/>
  <c r="K676" i="3" s="1"/>
  <c r="AE676" i="3" s="1"/>
  <c r="AH676" i="3"/>
  <c r="D676" i="3"/>
  <c r="G676" i="3" s="1"/>
  <c r="AG676" i="3"/>
  <c r="F676" i="3" l="1"/>
  <c r="I676" i="3"/>
  <c r="J676" i="3"/>
  <c r="AD676" i="3" s="1"/>
  <c r="M676" i="3"/>
  <c r="N676" i="3" s="1"/>
  <c r="V676" i="3"/>
  <c r="A677" i="3"/>
  <c r="B677" i="3" s="1"/>
  <c r="W676" i="3" l="1"/>
  <c r="L676" i="3"/>
  <c r="AA677" i="3"/>
  <c r="AC677" i="3"/>
  <c r="Z677" i="3"/>
  <c r="P677" i="3"/>
  <c r="Q677" i="3" s="1"/>
  <c r="R677" i="3" s="1"/>
  <c r="S677" i="3" s="1"/>
  <c r="U676" i="3" l="1"/>
  <c r="Y675" i="3"/>
  <c r="T677" i="3"/>
  <c r="AG677" i="3" s="1"/>
  <c r="D677" i="3" l="1"/>
  <c r="G677" i="3" s="1"/>
  <c r="AH677" i="3"/>
  <c r="E677" i="3"/>
  <c r="H677" i="3" s="1"/>
  <c r="F677" i="3" l="1"/>
  <c r="I677" i="3"/>
  <c r="J677" i="3"/>
  <c r="AD677" i="3" s="1"/>
  <c r="M677" i="3"/>
  <c r="N677" i="3" s="1"/>
  <c r="K677" i="3"/>
  <c r="AE677" i="3" s="1"/>
  <c r="V677" i="3" l="1"/>
  <c r="W677" i="3" s="1"/>
  <c r="A678" i="3"/>
  <c r="B678" i="3" s="1"/>
  <c r="L677" i="3"/>
  <c r="U677" i="3" l="1"/>
  <c r="Y676" i="3"/>
  <c r="P678" i="3"/>
  <c r="Q678" i="3" s="1"/>
  <c r="R678" i="3" s="1"/>
  <c r="S678" i="3" s="1"/>
  <c r="Z678" i="3"/>
  <c r="AC678" i="3"/>
  <c r="AA678" i="3"/>
  <c r="T678" i="3" l="1"/>
  <c r="AH678" i="3" s="1"/>
  <c r="E678" i="3" l="1"/>
  <c r="H678" i="3" s="1"/>
  <c r="K678" i="3" s="1"/>
  <c r="AE678" i="3" s="1"/>
  <c r="D678" i="3"/>
  <c r="AG678" i="3"/>
  <c r="F678" i="3" l="1"/>
  <c r="G678" i="3"/>
  <c r="J678" i="3" s="1"/>
  <c r="AD678" i="3" s="1"/>
  <c r="V678" i="3"/>
  <c r="A679" i="3"/>
  <c r="B679" i="3" s="1"/>
  <c r="M678" i="3" l="1"/>
  <c r="N678" i="3" s="1"/>
  <c r="I678" i="3"/>
  <c r="W678" i="3" s="1"/>
  <c r="L678" i="3"/>
  <c r="P679" i="3"/>
  <c r="Q679" i="3" s="1"/>
  <c r="R679" i="3" s="1"/>
  <c r="S679" i="3" s="1"/>
  <c r="AA679" i="3"/>
  <c r="Z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I679" i="3"/>
  <c r="W679" i="3" s="1"/>
  <c r="J679" i="3"/>
  <c r="AD679" i="3" s="1"/>
  <c r="M679" i="3"/>
  <c r="N679" i="3" s="1"/>
  <c r="L679" i="3" l="1"/>
  <c r="T680" i="3"/>
  <c r="AH680" i="3" l="1"/>
  <c r="U679" i="3"/>
  <c r="E680" i="3" s="1"/>
  <c r="H680" i="3" s="1"/>
  <c r="AG680" i="3"/>
  <c r="Y678" i="3"/>
  <c r="D680" i="3" l="1"/>
  <c r="G680" i="3" s="1"/>
  <c r="K680" i="3"/>
  <c r="AE680" i="3" s="1"/>
  <c r="F680" i="3" l="1"/>
  <c r="I680" i="3"/>
  <c r="J680" i="3"/>
  <c r="AD680" i="3" s="1"/>
  <c r="M680" i="3"/>
  <c r="N680" i="3" s="1"/>
  <c r="V680" i="3"/>
  <c r="A681" i="3"/>
  <c r="B681" i="3" s="1"/>
  <c r="W680" i="3" l="1"/>
  <c r="L680"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Z682" i="3" l="1"/>
  <c r="P682" i="3"/>
  <c r="Q682" i="3" s="1"/>
  <c r="R682" i="3" s="1"/>
  <c r="S682" i="3" s="1"/>
  <c r="AC682" i="3"/>
  <c r="AA682" i="3"/>
  <c r="I681" i="3"/>
  <c r="W681" i="3" s="1"/>
  <c r="J681" i="3"/>
  <c r="AD681" i="3" s="1"/>
  <c r="M681" i="3"/>
  <c r="N681" i="3" s="1"/>
  <c r="L681" i="3" l="1"/>
  <c r="T682" i="3"/>
  <c r="U681" i="3" l="1"/>
  <c r="E682" i="3" s="1"/>
  <c r="H682" i="3" s="1"/>
  <c r="AG682" i="3"/>
  <c r="AH682" i="3"/>
  <c r="Y680" i="3"/>
  <c r="D682" i="3" l="1"/>
  <c r="G682" i="3" s="1"/>
  <c r="K682" i="3"/>
  <c r="AE682" i="3" s="1"/>
  <c r="F682" i="3" l="1"/>
  <c r="V682" i="3"/>
  <c r="A683" i="3"/>
  <c r="B683" i="3" s="1"/>
  <c r="I682" i="3"/>
  <c r="J682" i="3"/>
  <c r="AD682" i="3" s="1"/>
  <c r="M682" i="3"/>
  <c r="N682" i="3" s="1"/>
  <c r="W682" i="3" l="1"/>
  <c r="L682" i="3"/>
  <c r="P683" i="3"/>
  <c r="Q683" i="3" s="1"/>
  <c r="R683" i="3" s="1"/>
  <c r="S683" i="3" s="1"/>
  <c r="AC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AD683" i="3" s="1"/>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A687" i="3"/>
  <c r="AC687" i="3"/>
  <c r="U686" i="3" l="1"/>
  <c r="Y685" i="3"/>
  <c r="T687" i="3"/>
  <c r="AG687" i="3" s="1"/>
  <c r="AH687" i="3" l="1"/>
  <c r="D687" i="3"/>
  <c r="G687" i="3" s="1"/>
  <c r="E687" i="3"/>
  <c r="H687" i="3" s="1"/>
  <c r="K687" i="3" s="1"/>
  <c r="AE687" i="3" s="1"/>
  <c r="F687" i="3" l="1"/>
  <c r="I687" i="3"/>
  <c r="J687" i="3"/>
  <c r="AD687" i="3" s="1"/>
  <c r="M687" i="3"/>
  <c r="N687" i="3" s="1"/>
  <c r="V687" i="3"/>
  <c r="A688" i="3"/>
  <c r="B688" i="3" s="1"/>
  <c r="W687" i="3" l="1"/>
  <c r="L687" i="3"/>
  <c r="AC688" i="3"/>
  <c r="AA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AD688" i="3" s="1"/>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AD695" i="3" s="1"/>
  <c r="M695" i="3"/>
  <c r="N695" i="3" s="1"/>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AD696" i="3" s="1"/>
  <c r="M696" i="3"/>
  <c r="N696" i="3" s="1"/>
  <c r="W696" i="3" l="1"/>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AA698" i="3"/>
  <c r="Z698" i="3"/>
  <c r="AC698" i="3"/>
  <c r="P698" i="3"/>
  <c r="Q698" i="3" s="1"/>
  <c r="R698" i="3" s="1"/>
  <c r="S698" i="3" s="1"/>
  <c r="L697" i="3" l="1"/>
  <c r="U697" i="3" s="1"/>
  <c r="AD697" i="3"/>
  <c r="T698" i="3"/>
  <c r="Y696" i="3" l="1"/>
  <c r="AG698" i="3"/>
  <c r="E698" i="3"/>
  <c r="H698" i="3" s="1"/>
  <c r="K698" i="3" s="1"/>
  <c r="AE698" i="3" s="1"/>
  <c r="AH698" i="3"/>
  <c r="D698" i="3"/>
  <c r="F698" i="3" l="1"/>
  <c r="G698" i="3"/>
  <c r="J698" i="3" s="1"/>
  <c r="AD698" i="3" s="1"/>
  <c r="V698" i="3"/>
  <c r="A699" i="3"/>
  <c r="B699" i="3" s="1"/>
  <c r="M698" i="3" l="1"/>
  <c r="N698" i="3" s="1"/>
  <c r="I698" i="3"/>
  <c r="W698" i="3" s="1"/>
  <c r="L698" i="3"/>
  <c r="Z699" i="3"/>
  <c r="P699" i="3"/>
  <c r="Q699" i="3" s="1"/>
  <c r="R699" i="3" s="1"/>
  <c r="S699" i="3" s="1"/>
  <c r="AA699" i="3"/>
  <c r="AC699" i="3"/>
  <c r="T699" i="3" l="1"/>
  <c r="U698" i="3"/>
  <c r="Y697" i="3"/>
  <c r="D699" i="3" l="1"/>
  <c r="G699" i="3" s="1"/>
  <c r="AG699" i="3"/>
  <c r="AH699" i="3"/>
  <c r="E699" i="3"/>
  <c r="H699" i="3" s="1"/>
  <c r="K699" i="3" l="1"/>
  <c r="AE699" i="3" s="1"/>
  <c r="I699" i="3"/>
  <c r="J699" i="3"/>
  <c r="AD699" i="3" s="1"/>
  <c r="M699" i="3"/>
  <c r="N699" i="3" s="1"/>
  <c r="F699" i="3"/>
  <c r="L699" i="3" l="1"/>
  <c r="V699" i="3"/>
  <c r="W699" i="3" s="1"/>
  <c r="A700" i="3"/>
  <c r="B700" i="3" s="1"/>
  <c r="U699" i="3" l="1"/>
  <c r="Y698" i="3"/>
  <c r="Z700" i="3"/>
  <c r="P700" i="3"/>
  <c r="Q700" i="3" s="1"/>
  <c r="R700" i="3" s="1"/>
  <c r="S700" i="3" s="1"/>
  <c r="AC700" i="3"/>
  <c r="AA700" i="3"/>
  <c r="T700" i="3" l="1"/>
  <c r="D700" i="3" s="1"/>
  <c r="AH700" i="3" l="1"/>
  <c r="AG700" i="3"/>
  <c r="E700" i="3"/>
  <c r="H700" i="3" s="1"/>
  <c r="K700" i="3" s="1"/>
  <c r="AE700" i="3" s="1"/>
  <c r="G700" i="3"/>
  <c r="F700" i="3" l="1"/>
  <c r="I700" i="3"/>
  <c r="J700" i="3"/>
  <c r="AD700" i="3" s="1"/>
  <c r="M700" i="3"/>
  <c r="N700" i="3" s="1"/>
  <c r="V700" i="3"/>
  <c r="A701" i="3"/>
  <c r="B701" i="3" s="1"/>
  <c r="W700" i="3" l="1"/>
  <c r="L700" i="3"/>
  <c r="AC701" i="3"/>
  <c r="AA701" i="3"/>
  <c r="Z701" i="3"/>
  <c r="P701" i="3"/>
  <c r="Q701" i="3" s="1"/>
  <c r="R701" i="3" s="1"/>
  <c r="S701" i="3" s="1"/>
  <c r="U700" i="3" l="1"/>
  <c r="Y699" i="3"/>
  <c r="T701" i="3"/>
  <c r="AG701" i="3" s="1"/>
  <c r="AH701" i="3" l="1"/>
  <c r="E701" i="3"/>
  <c r="H701" i="3" s="1"/>
  <c r="D701" i="3"/>
  <c r="F701" i="3" l="1"/>
  <c r="G701" i="3"/>
  <c r="K701" i="3"/>
  <c r="AE701" i="3" s="1"/>
  <c r="I701" i="3" l="1"/>
  <c r="J701" i="3"/>
  <c r="AD701" i="3" s="1"/>
  <c r="M701" i="3"/>
  <c r="N701" i="3" s="1"/>
  <c r="V701" i="3"/>
  <c r="A702" i="3"/>
  <c r="B702" i="3" s="1"/>
  <c r="W701" i="3" l="1"/>
  <c r="L701" i="3"/>
  <c r="AC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AD702" i="3" s="1"/>
  <c r="M702" i="3"/>
  <c r="N702" i="3" s="1"/>
  <c r="W702" i="3" l="1"/>
  <c r="L702" i="3"/>
  <c r="AC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AD703" i="3" s="1"/>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T705" i="3" l="1"/>
  <c r="AH705" i="3" s="1"/>
  <c r="AG705" i="3" l="1"/>
  <c r="D705" i="3"/>
  <c r="E705" i="3"/>
  <c r="H705" i="3" s="1"/>
  <c r="F705" i="3" l="1"/>
  <c r="G705" i="3"/>
  <c r="K705" i="3"/>
  <c r="AE705" i="3" s="1"/>
  <c r="I705" i="3" l="1"/>
  <c r="J705" i="3"/>
  <c r="AD705" i="3" s="1"/>
  <c r="M705" i="3"/>
  <c r="N705" i="3" s="1"/>
  <c r="V705" i="3"/>
  <c r="A706" i="3"/>
  <c r="B706" i="3" s="1"/>
  <c r="W705" i="3" l="1"/>
  <c r="L705" i="3"/>
  <c r="P706" i="3"/>
  <c r="Q706" i="3" s="1"/>
  <c r="R706" i="3" s="1"/>
  <c r="S706" i="3" s="1"/>
  <c r="AA706" i="3"/>
  <c r="AC706" i="3"/>
  <c r="Z706" i="3"/>
  <c r="U705" i="3" l="1"/>
  <c r="Y704" i="3"/>
  <c r="T706" i="3"/>
  <c r="AH706" i="3" s="1"/>
  <c r="E706" i="3" l="1"/>
  <c r="H706" i="3" s="1"/>
  <c r="D706" i="3"/>
  <c r="AG706" i="3"/>
  <c r="K706" i="3" l="1"/>
  <c r="AE706" i="3" s="1"/>
  <c r="F706" i="3"/>
  <c r="G706" i="3"/>
  <c r="I706" i="3" l="1"/>
  <c r="J706" i="3"/>
  <c r="AD706" i="3" s="1"/>
  <c r="M706" i="3"/>
  <c r="N706" i="3" s="1"/>
  <c r="V706" i="3"/>
  <c r="A707" i="3"/>
  <c r="B707" i="3" s="1"/>
  <c r="W706" i="3" l="1"/>
  <c r="P707" i="3"/>
  <c r="Q707" i="3" s="1"/>
  <c r="R707" i="3" s="1"/>
  <c r="S707" i="3" s="1"/>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AD707" i="3" s="1"/>
  <c r="M707" i="3"/>
  <c r="N707" i="3" s="1"/>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AD708" i="3" s="1"/>
  <c r="M708" i="3"/>
  <c r="N708" i="3" s="1"/>
  <c r="V708" i="3"/>
  <c r="A709" i="3"/>
  <c r="B709" i="3" s="1"/>
  <c r="W708" i="3" l="1"/>
  <c r="L708" i="3"/>
  <c r="Z709" i="3"/>
  <c r="AA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AD709" i="3" s="1"/>
  <c r="M709" i="3"/>
  <c r="N709" i="3" s="1"/>
  <c r="W709" i="3" l="1"/>
  <c r="L709" i="3"/>
  <c r="AC710" i="3"/>
  <c r="Z710" i="3"/>
  <c r="AA710" i="3"/>
  <c r="P710" i="3"/>
  <c r="Q710" i="3" s="1"/>
  <c r="R710" i="3" s="1"/>
  <c r="S710" i="3" s="1"/>
  <c r="U709" i="3" l="1"/>
  <c r="Y708" i="3"/>
  <c r="T710" i="3"/>
  <c r="AH710" i="3" s="1"/>
  <c r="D710" i="3" l="1"/>
  <c r="E710" i="3"/>
  <c r="H710" i="3" s="1"/>
  <c r="AG710" i="3"/>
  <c r="F710" i="3" l="1"/>
  <c r="G710" i="3"/>
  <c r="K710" i="3"/>
  <c r="AE710" i="3" s="1"/>
  <c r="I710" i="3" l="1"/>
  <c r="J710" i="3"/>
  <c r="AD710" i="3" s="1"/>
  <c r="M710" i="3"/>
  <c r="N710" i="3" s="1"/>
  <c r="V710" i="3"/>
  <c r="A711" i="3"/>
  <c r="B711" i="3" s="1"/>
  <c r="W710" i="3" l="1"/>
  <c r="L710" i="3"/>
  <c r="AA711" i="3"/>
  <c r="AC711" i="3"/>
  <c r="Z711" i="3"/>
  <c r="P711" i="3"/>
  <c r="Q711" i="3" s="1"/>
  <c r="R711" i="3" s="1"/>
  <c r="S711" i="3" s="1"/>
  <c r="T711" i="3" l="1"/>
  <c r="U710" i="3"/>
  <c r="Y709" i="3"/>
  <c r="D711" i="3" l="1"/>
  <c r="G711" i="3" s="1"/>
  <c r="E711" i="3"/>
  <c r="H711" i="3" s="1"/>
  <c r="AH711" i="3"/>
  <c r="AG711" i="3"/>
  <c r="F711" i="3" l="1"/>
  <c r="K711" i="3"/>
  <c r="AE711" i="3" s="1"/>
  <c r="I711" i="3"/>
  <c r="J711" i="3"/>
  <c r="AD711" i="3" s="1"/>
  <c r="M711" i="3"/>
  <c r="N711" i="3" s="1"/>
  <c r="L711" i="3" l="1"/>
  <c r="V711" i="3"/>
  <c r="W711" i="3" s="1"/>
  <c r="A712" i="3"/>
  <c r="B712" i="3" s="1"/>
  <c r="AC712" i="3" l="1"/>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AD712" i="3" s="1"/>
  <c r="M712" i="3"/>
  <c r="N712" i="3" s="1"/>
  <c r="W712" i="3" l="1"/>
  <c r="L712" i="3"/>
  <c r="Z713" i="3"/>
  <c r="P713" i="3"/>
  <c r="Q713" i="3" s="1"/>
  <c r="R713" i="3" s="1"/>
  <c r="S713" i="3" s="1"/>
  <c r="AC713" i="3"/>
  <c r="AA713" i="3"/>
  <c r="T713" i="3" l="1"/>
  <c r="AH713" i="3" s="1"/>
  <c r="U712" i="3"/>
  <c r="Y711" i="3"/>
  <c r="D713" i="3" l="1"/>
  <c r="AG713" i="3"/>
  <c r="E713" i="3"/>
  <c r="H713" i="3" s="1"/>
  <c r="F713" i="3" l="1"/>
  <c r="G713" i="3"/>
  <c r="M713" i="3" s="1"/>
  <c r="N713" i="3" s="1"/>
  <c r="K713" i="3"/>
  <c r="AE713" i="3" s="1"/>
  <c r="I713" i="3" l="1"/>
  <c r="J713" i="3"/>
  <c r="V713" i="3"/>
  <c r="A714" i="3"/>
  <c r="B714" i="3" s="1"/>
  <c r="L713" i="3" l="1"/>
  <c r="AD713" i="3"/>
  <c r="W713" i="3"/>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U714" i="3" l="1"/>
  <c r="Y713" i="3"/>
  <c r="T715" i="3"/>
  <c r="AG715" i="3" s="1"/>
  <c r="AH715" i="3" l="1"/>
  <c r="D715" i="3"/>
  <c r="G715" i="3" s="1"/>
  <c r="E715" i="3"/>
  <c r="H715" i="3" s="1"/>
  <c r="F715" i="3" l="1"/>
  <c r="I715" i="3"/>
  <c r="J715" i="3"/>
  <c r="AD715" i="3" s="1"/>
  <c r="M715" i="3"/>
  <c r="N715" i="3" s="1"/>
  <c r="K715" i="3"/>
  <c r="AE715" i="3" s="1"/>
  <c r="V715" i="3" l="1"/>
  <c r="W715" i="3" s="1"/>
  <c r="A716" i="3"/>
  <c r="B716" i="3" s="1"/>
  <c r="L715" i="3"/>
  <c r="U715" i="3" l="1"/>
  <c r="Y714" i="3"/>
  <c r="AC716" i="3"/>
  <c r="Z716" i="3"/>
  <c r="P716" i="3"/>
  <c r="Q716" i="3" s="1"/>
  <c r="R716" i="3" s="1"/>
  <c r="S716" i="3" s="1"/>
  <c r="AA716" i="3"/>
  <c r="T716" i="3" l="1"/>
  <c r="D716" i="3" s="1"/>
  <c r="E716" i="3" l="1"/>
  <c r="H716" i="3" s="1"/>
  <c r="K716" i="3" s="1"/>
  <c r="AE716" i="3" s="1"/>
  <c r="AH716" i="3"/>
  <c r="AG716" i="3"/>
  <c r="G716" i="3"/>
  <c r="F716" i="3" l="1"/>
  <c r="I716" i="3"/>
  <c r="J716" i="3"/>
  <c r="AD716" i="3" s="1"/>
  <c r="M716" i="3"/>
  <c r="N716" i="3" s="1"/>
  <c r="V716" i="3"/>
  <c r="A717" i="3"/>
  <c r="B717" i="3" s="1"/>
  <c r="W716" i="3" l="1"/>
  <c r="L716" i="3"/>
  <c r="AC717" i="3"/>
  <c r="P717" i="3"/>
  <c r="Q717" i="3" s="1"/>
  <c r="R717" i="3" s="1"/>
  <c r="S717" i="3" s="1"/>
  <c r="Z717" i="3"/>
  <c r="AA717" i="3"/>
  <c r="U716" i="3" l="1"/>
  <c r="Y715" i="3"/>
  <c r="T717" i="3"/>
  <c r="AG717" i="3" s="1"/>
  <c r="E717" i="3" l="1"/>
  <c r="H717" i="3" s="1"/>
  <c r="K717" i="3" s="1"/>
  <c r="AE717" i="3" s="1"/>
  <c r="AH717" i="3"/>
  <c r="D717" i="3"/>
  <c r="V717" i="3" l="1"/>
  <c r="A718" i="3"/>
  <c r="B718" i="3" s="1"/>
  <c r="F717" i="3"/>
  <c r="G717" i="3"/>
  <c r="I717" i="3" l="1"/>
  <c r="W717" i="3" s="1"/>
  <c r="J717" i="3"/>
  <c r="AD717" i="3" s="1"/>
  <c r="M717" i="3"/>
  <c r="N717" i="3" s="1"/>
  <c r="P718" i="3"/>
  <c r="Q718" i="3" s="1"/>
  <c r="R718" i="3" s="1"/>
  <c r="S718" i="3" s="1"/>
  <c r="AC718" i="3"/>
  <c r="Z718" i="3"/>
  <c r="AA718" i="3"/>
  <c r="L717" i="3" l="1"/>
  <c r="T718" i="3"/>
  <c r="U717" i="3" l="1"/>
  <c r="E718" i="3" s="1"/>
  <c r="H718" i="3" s="1"/>
  <c r="AH718" i="3"/>
  <c r="AG718" i="3"/>
  <c r="Y716" i="3"/>
  <c r="K718" i="3" l="1"/>
  <c r="AE718" i="3" s="1"/>
  <c r="D718" i="3"/>
  <c r="V718" i="3" l="1"/>
  <c r="A719" i="3"/>
  <c r="B719" i="3" s="1"/>
  <c r="F718" i="3"/>
  <c r="G718" i="3"/>
  <c r="I718" i="3" l="1"/>
  <c r="W718" i="3" s="1"/>
  <c r="J718" i="3"/>
  <c r="AD718" i="3" s="1"/>
  <c r="M718" i="3"/>
  <c r="N718" i="3" s="1"/>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AD719" i="3" s="1"/>
  <c r="M719" i="3"/>
  <c r="N719" i="3" s="1"/>
  <c r="V719" i="3"/>
  <c r="A720" i="3"/>
  <c r="B720" i="3" s="1"/>
  <c r="W719" i="3" l="1"/>
  <c r="L719" i="3"/>
  <c r="P720" i="3"/>
  <c r="Q720" i="3" s="1"/>
  <c r="R720" i="3" s="1"/>
  <c r="S720" i="3" s="1"/>
  <c r="AA720" i="3"/>
  <c r="AC720" i="3"/>
  <c r="Z720" i="3"/>
  <c r="U719" i="3" l="1"/>
  <c r="Y718" i="3"/>
  <c r="T720" i="3"/>
  <c r="AG720" i="3" s="1"/>
  <c r="E720" i="3" l="1"/>
  <c r="H720" i="3" s="1"/>
  <c r="K720" i="3" s="1"/>
  <c r="AE720" i="3" s="1"/>
  <c r="D720" i="3"/>
  <c r="AH720" i="3"/>
  <c r="V720" i="3" l="1"/>
  <c r="A721" i="3"/>
  <c r="B721" i="3" s="1"/>
  <c r="F720" i="3"/>
  <c r="G720" i="3"/>
  <c r="I720" i="3" l="1"/>
  <c r="W720" i="3" s="1"/>
  <c r="J720" i="3"/>
  <c r="AD720" i="3" s="1"/>
  <c r="M720" i="3"/>
  <c r="N720" i="3" s="1"/>
  <c r="AA721" i="3"/>
  <c r="Z721" i="3"/>
  <c r="AC721" i="3"/>
  <c r="P721" i="3"/>
  <c r="Q721" i="3" s="1"/>
  <c r="R721" i="3" s="1"/>
  <c r="S721" i="3" s="1"/>
  <c r="T721" i="3" l="1"/>
  <c r="L720" i="3"/>
  <c r="AG721" i="3" l="1"/>
  <c r="U720" i="3"/>
  <c r="D721" i="3" s="1"/>
  <c r="AH721" i="3"/>
  <c r="Y719" i="3"/>
  <c r="G721" i="3" l="1"/>
  <c r="E721" i="3"/>
  <c r="H721" i="3" s="1"/>
  <c r="F721" i="3" l="1"/>
  <c r="I721" i="3"/>
  <c r="J721" i="3"/>
  <c r="AD721" i="3" s="1"/>
  <c r="M721" i="3"/>
  <c r="N721" i="3" s="1"/>
  <c r="K721" i="3"/>
  <c r="AE721" i="3" s="1"/>
  <c r="V721" i="3" l="1"/>
  <c r="W721" i="3" s="1"/>
  <c r="A722" i="3"/>
  <c r="B722" i="3" s="1"/>
  <c r="L721" i="3"/>
  <c r="U721" i="3" l="1"/>
  <c r="Y720" i="3"/>
  <c r="AA722" i="3"/>
  <c r="AC722" i="3"/>
  <c r="P722" i="3"/>
  <c r="Q722" i="3" s="1"/>
  <c r="R722" i="3" s="1"/>
  <c r="S722" i="3" s="1"/>
  <c r="Z722" i="3"/>
  <c r="T722" i="3" l="1"/>
  <c r="AH722" i="3" s="1"/>
  <c r="E722" i="3" l="1"/>
  <c r="H722" i="3" s="1"/>
  <c r="K722" i="3" s="1"/>
  <c r="AE722" i="3" s="1"/>
  <c r="D722" i="3"/>
  <c r="AG722" i="3"/>
  <c r="V722" i="3" l="1"/>
  <c r="A723" i="3"/>
  <c r="B723" i="3" s="1"/>
  <c r="F722" i="3"/>
  <c r="G722" i="3"/>
  <c r="I722" i="3" l="1"/>
  <c r="W722" i="3" s="1"/>
  <c r="J722" i="3"/>
  <c r="AD722" i="3" s="1"/>
  <c r="M722" i="3"/>
  <c r="N722" i="3" s="1"/>
  <c r="Z723" i="3"/>
  <c r="AA723" i="3"/>
  <c r="AC723" i="3"/>
  <c r="P723" i="3"/>
  <c r="Q723" i="3" s="1"/>
  <c r="R723" i="3" s="1"/>
  <c r="S723" i="3" s="1"/>
  <c r="T723" i="3" l="1"/>
  <c r="L722" i="3"/>
  <c r="U722" i="3" l="1"/>
  <c r="E723" i="3" s="1"/>
  <c r="H723" i="3" s="1"/>
  <c r="AG723" i="3"/>
  <c r="AH723" i="3"/>
  <c r="Y721" i="3"/>
  <c r="D723" i="3" l="1"/>
  <c r="G723" i="3" s="1"/>
  <c r="K723" i="3"/>
  <c r="AE723" i="3" s="1"/>
  <c r="F723" i="3" l="1"/>
  <c r="V723" i="3"/>
  <c r="A724" i="3"/>
  <c r="B724" i="3" s="1"/>
  <c r="I723" i="3"/>
  <c r="J723" i="3"/>
  <c r="AD723" i="3" s="1"/>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U724" i="3" l="1"/>
  <c r="Y723" i="3"/>
  <c r="T725" i="3"/>
  <c r="AG725" i="3" s="1"/>
  <c r="AH725" i="3" l="1"/>
  <c r="D725" i="3"/>
  <c r="G725" i="3" s="1"/>
  <c r="E725" i="3"/>
  <c r="H725" i="3" s="1"/>
  <c r="F725" i="3" l="1"/>
  <c r="I725" i="3"/>
  <c r="J725" i="3"/>
  <c r="AD725" i="3" s="1"/>
  <c r="M725" i="3"/>
  <c r="N725" i="3" s="1"/>
  <c r="K725" i="3"/>
  <c r="AE725" i="3" s="1"/>
  <c r="V725" i="3" l="1"/>
  <c r="W725" i="3" s="1"/>
  <c r="A726" i="3"/>
  <c r="B726" i="3" s="1"/>
  <c r="L725" i="3"/>
  <c r="U725" i="3" l="1"/>
  <c r="Y724" i="3"/>
  <c r="Z726" i="3"/>
  <c r="P726" i="3"/>
  <c r="Q726" i="3" s="1"/>
  <c r="R726" i="3" s="1"/>
  <c r="S726" i="3" s="1"/>
  <c r="AA726" i="3"/>
  <c r="AC726" i="3"/>
  <c r="T726" i="3" l="1"/>
  <c r="AG726" i="3" s="1"/>
  <c r="D726" i="3" l="1"/>
  <c r="G726" i="3" s="1"/>
  <c r="E726" i="3"/>
  <c r="H726" i="3" s="1"/>
  <c r="K726" i="3" s="1"/>
  <c r="AE726" i="3" s="1"/>
  <c r="AH726" i="3"/>
  <c r="F726" i="3" l="1"/>
  <c r="I726" i="3"/>
  <c r="J726" i="3"/>
  <c r="AD726" i="3" s="1"/>
  <c r="M726" i="3"/>
  <c r="N726" i="3" s="1"/>
  <c r="V726" i="3"/>
  <c r="A727" i="3"/>
  <c r="B727" i="3" s="1"/>
  <c r="W726" i="3" l="1"/>
  <c r="L726" i="3"/>
  <c r="P727" i="3"/>
  <c r="Q727" i="3" s="1"/>
  <c r="R727" i="3" s="1"/>
  <c r="S727" i="3" s="1"/>
  <c r="Z727" i="3"/>
  <c r="AA727" i="3"/>
  <c r="AC727" i="3"/>
  <c r="U726" i="3" l="1"/>
  <c r="Y725" i="3"/>
  <c r="T727" i="3"/>
  <c r="AH727" i="3" s="1"/>
  <c r="E727" i="3" l="1"/>
  <c r="H727" i="3" s="1"/>
  <c r="K727" i="3" s="1"/>
  <c r="AE727" i="3" s="1"/>
  <c r="D727" i="3"/>
  <c r="AG727" i="3"/>
  <c r="F727" i="3" l="1"/>
  <c r="G727" i="3"/>
  <c r="M727" i="3" s="1"/>
  <c r="N727" i="3" s="1"/>
  <c r="V727" i="3"/>
  <c r="A728" i="3"/>
  <c r="B728" i="3" s="1"/>
  <c r="I727" i="3" l="1"/>
  <c r="W727" i="3" s="1"/>
  <c r="J727" i="3"/>
  <c r="AA728" i="3"/>
  <c r="P728" i="3"/>
  <c r="Q728" i="3" s="1"/>
  <c r="R728" i="3" s="1"/>
  <c r="S728" i="3" s="1"/>
  <c r="AC728" i="3"/>
  <c r="Z728" i="3"/>
  <c r="L727" i="3" l="1"/>
  <c r="U727" i="3" s="1"/>
  <c r="AD727" i="3"/>
  <c r="T728" i="3"/>
  <c r="Y726" i="3" l="1"/>
  <c r="D728" i="3"/>
  <c r="G728" i="3" s="1"/>
  <c r="AG728" i="3"/>
  <c r="E728" i="3"/>
  <c r="H728" i="3" s="1"/>
  <c r="AH728" i="3"/>
  <c r="F728" i="3" l="1"/>
  <c r="I728" i="3"/>
  <c r="J728" i="3"/>
  <c r="AD728" i="3" s="1"/>
  <c r="M728" i="3"/>
  <c r="N728" i="3" s="1"/>
  <c r="K728" i="3"/>
  <c r="AE728" i="3" s="1"/>
  <c r="V728" i="3" l="1"/>
  <c r="W728" i="3" s="1"/>
  <c r="A729" i="3"/>
  <c r="B729" i="3" s="1"/>
  <c r="L728" i="3"/>
  <c r="U728" i="3" l="1"/>
  <c r="Y727" i="3"/>
  <c r="P729" i="3"/>
  <c r="Q729" i="3" s="1"/>
  <c r="R729" i="3" s="1"/>
  <c r="S729" i="3" s="1"/>
  <c r="AA729" i="3"/>
  <c r="AC729" i="3"/>
  <c r="Z729" i="3"/>
  <c r="T729" i="3" l="1"/>
  <c r="E729" i="3" s="1"/>
  <c r="H729" i="3" s="1"/>
  <c r="AH729" i="3" l="1"/>
  <c r="D729" i="3"/>
  <c r="F729" i="3" s="1"/>
  <c r="AG729" i="3"/>
  <c r="K729" i="3"/>
  <c r="AE729" i="3" s="1"/>
  <c r="G729" i="3" l="1"/>
  <c r="I729" i="3" s="1"/>
  <c r="V729" i="3"/>
  <c r="A730" i="3"/>
  <c r="B730" i="3" s="1"/>
  <c r="W729" i="3" l="1"/>
  <c r="J729" i="3"/>
  <c r="M729" i="3"/>
  <c r="N729" i="3" s="1"/>
  <c r="AA730" i="3"/>
  <c r="Z730" i="3"/>
  <c r="P730" i="3"/>
  <c r="Q730" i="3" s="1"/>
  <c r="R730" i="3" s="1"/>
  <c r="S730" i="3" s="1"/>
  <c r="AC730" i="3"/>
  <c r="L729" i="3" l="1"/>
  <c r="U729" i="3" s="1"/>
  <c r="AD729" i="3"/>
  <c r="T730" i="3"/>
  <c r="Y728" i="3" l="1"/>
  <c r="AG730" i="3"/>
  <c r="D730" i="3"/>
  <c r="E730" i="3"/>
  <c r="H730" i="3" s="1"/>
  <c r="AH730" i="3"/>
  <c r="K730" i="3" l="1"/>
  <c r="AE730" i="3" s="1"/>
  <c r="F730" i="3"/>
  <c r="G730" i="3"/>
  <c r="I730" i="3" l="1"/>
  <c r="J730" i="3"/>
  <c r="AD730" i="3" s="1"/>
  <c r="M730" i="3"/>
  <c r="N730" i="3" s="1"/>
  <c r="V730" i="3"/>
  <c r="A731" i="3"/>
  <c r="B731" i="3" s="1"/>
  <c r="W730" i="3" l="1"/>
  <c r="L730" i="3"/>
  <c r="P731" i="3"/>
  <c r="Q731" i="3" s="1"/>
  <c r="R731" i="3" s="1"/>
  <c r="S731" i="3" s="1"/>
  <c r="Z731" i="3"/>
  <c r="AA731" i="3"/>
  <c r="AC731" i="3"/>
  <c r="U730" i="3" l="1"/>
  <c r="Y729" i="3"/>
  <c r="T731" i="3"/>
  <c r="AG731" i="3" s="1"/>
  <c r="E731" i="3" l="1"/>
  <c r="H731" i="3" s="1"/>
  <c r="K731" i="3" s="1"/>
  <c r="AE731" i="3" s="1"/>
  <c r="AH731" i="3"/>
  <c r="D731" i="3"/>
  <c r="F731" i="3" l="1"/>
  <c r="G731" i="3"/>
  <c r="J731" i="3" s="1"/>
  <c r="AD731" i="3" s="1"/>
  <c r="V731" i="3"/>
  <c r="A732" i="3"/>
  <c r="B732" i="3" s="1"/>
  <c r="M731" i="3" l="1"/>
  <c r="N731" i="3" s="1"/>
  <c r="I731" i="3"/>
  <c r="W731" i="3" s="1"/>
  <c r="L731" i="3"/>
  <c r="AC732" i="3"/>
  <c r="Z732" i="3"/>
  <c r="AA732" i="3"/>
  <c r="P732" i="3"/>
  <c r="Q732" i="3" s="1"/>
  <c r="R732" i="3" s="1"/>
  <c r="S732" i="3" s="1"/>
  <c r="U731" i="3" l="1"/>
  <c r="Y730" i="3"/>
  <c r="T732" i="3"/>
  <c r="E732" i="3" l="1"/>
  <c r="H732" i="3" s="1"/>
  <c r="K732" i="3" s="1"/>
  <c r="AE732" i="3" s="1"/>
  <c r="D732" i="3"/>
  <c r="G732" i="3" s="1"/>
  <c r="AH732" i="3"/>
  <c r="AG732" i="3"/>
  <c r="F732" i="3" l="1"/>
  <c r="I732" i="3"/>
  <c r="J732" i="3"/>
  <c r="AD732" i="3" s="1"/>
  <c r="M732" i="3"/>
  <c r="N732" i="3" s="1"/>
  <c r="V732" i="3"/>
  <c r="A733" i="3"/>
  <c r="B733" i="3" s="1"/>
  <c r="W732" i="3" l="1"/>
  <c r="L732" i="3"/>
  <c r="AC733" i="3"/>
  <c r="P733" i="3"/>
  <c r="Q733" i="3" s="1"/>
  <c r="R733" i="3" s="1"/>
  <c r="S733" i="3" s="1"/>
  <c r="AA733" i="3"/>
  <c r="Z733" i="3"/>
  <c r="T733" i="3" l="1"/>
  <c r="AH733" i="3" s="1"/>
  <c r="U732" i="3"/>
  <c r="Y731" i="3"/>
  <c r="D733" i="3" l="1"/>
  <c r="G733" i="3" s="1"/>
  <c r="E733" i="3"/>
  <c r="H733" i="3" s="1"/>
  <c r="AG733" i="3"/>
  <c r="F733" i="3" l="1"/>
  <c r="I733" i="3"/>
  <c r="J733" i="3"/>
  <c r="AD733" i="3" s="1"/>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L734" i="3" l="1"/>
  <c r="Y733" i="3" s="1"/>
  <c r="AD734" i="3"/>
  <c r="T735" i="3"/>
  <c r="U734" i="3" l="1"/>
  <c r="E735" i="3" s="1"/>
  <c r="H735" i="3" s="1"/>
  <c r="AH735" i="3"/>
  <c r="AG735" i="3"/>
  <c r="D735" i="3" l="1"/>
  <c r="G735" i="3" s="1"/>
  <c r="M735" i="3" s="1"/>
  <c r="N735" i="3" s="1"/>
  <c r="K735" i="3"/>
  <c r="AE735" i="3" s="1"/>
  <c r="F735" i="3" l="1"/>
  <c r="I735" i="3"/>
  <c r="J735" i="3"/>
  <c r="V735" i="3"/>
  <c r="A736" i="3"/>
  <c r="B736" i="3" s="1"/>
  <c r="L735" i="3" l="1"/>
  <c r="U735" i="3" s="1"/>
  <c r="AD735" i="3"/>
  <c r="W735" i="3"/>
  <c r="Z736" i="3"/>
  <c r="P736" i="3"/>
  <c r="Q736" i="3" s="1"/>
  <c r="R736" i="3" s="1"/>
  <c r="S736" i="3" s="1"/>
  <c r="AA736" i="3"/>
  <c r="AC736" i="3"/>
  <c r="Y734" i="3" l="1"/>
  <c r="T736" i="3"/>
  <c r="E736" i="3" s="1"/>
  <c r="H736" i="3" s="1"/>
  <c r="AH736" i="3" l="1"/>
  <c r="D736" i="3"/>
  <c r="F736" i="3" s="1"/>
  <c r="K736" i="3"/>
  <c r="AE736" i="3" s="1"/>
  <c r="AG736" i="3"/>
  <c r="G736" i="3" l="1"/>
  <c r="M736" i="3" s="1"/>
  <c r="N736" i="3" s="1"/>
  <c r="V736" i="3"/>
  <c r="A737" i="3"/>
  <c r="B737" i="3" s="1"/>
  <c r="I736" i="3" l="1"/>
  <c r="W736" i="3" s="1"/>
  <c r="J736" i="3"/>
  <c r="AC737" i="3"/>
  <c r="P737" i="3"/>
  <c r="Q737" i="3" s="1"/>
  <c r="R737" i="3" s="1"/>
  <c r="S737" i="3" s="1"/>
  <c r="Z737" i="3"/>
  <c r="AA737" i="3"/>
  <c r="L736" i="3" l="1"/>
  <c r="U736" i="3" s="1"/>
  <c r="AD736" i="3"/>
  <c r="T737" i="3"/>
  <c r="Y735" i="3" l="1"/>
  <c r="AH737" i="3"/>
  <c r="D737" i="3"/>
  <c r="E737" i="3"/>
  <c r="H737" i="3" s="1"/>
  <c r="AG737" i="3"/>
  <c r="F737" i="3" l="1"/>
  <c r="G737" i="3"/>
  <c r="K737" i="3"/>
  <c r="AE737" i="3" s="1"/>
  <c r="V737" i="3" l="1"/>
  <c r="A738" i="3"/>
  <c r="B738" i="3" s="1"/>
  <c r="I737" i="3"/>
  <c r="J737" i="3"/>
  <c r="AD737" i="3" s="1"/>
  <c r="M737" i="3"/>
  <c r="N737" i="3" s="1"/>
  <c r="W737" i="3" l="1"/>
  <c r="L737" i="3"/>
  <c r="AA738" i="3"/>
  <c r="P738" i="3"/>
  <c r="Q738" i="3" s="1"/>
  <c r="R738" i="3" s="1"/>
  <c r="S738" i="3" s="1"/>
  <c r="AC738" i="3"/>
  <c r="Z738" i="3"/>
  <c r="U737" i="3" l="1"/>
  <c r="Y736" i="3"/>
  <c r="T738" i="3"/>
  <c r="E738" i="3" l="1"/>
  <c r="H738" i="3" s="1"/>
  <c r="K738" i="3" s="1"/>
  <c r="AE738" i="3" s="1"/>
  <c r="D738" i="3"/>
  <c r="AG738" i="3"/>
  <c r="AH738" i="3"/>
  <c r="V738" i="3" l="1"/>
  <c r="A739" i="3"/>
  <c r="B739" i="3" s="1"/>
  <c r="F738" i="3"/>
  <c r="G738" i="3"/>
  <c r="I738" i="3" l="1"/>
  <c r="W738" i="3" s="1"/>
  <c r="J738" i="3"/>
  <c r="AD738" i="3" s="1"/>
  <c r="M738" i="3"/>
  <c r="N738" i="3" s="1"/>
  <c r="P739" i="3"/>
  <c r="Q739" i="3" s="1"/>
  <c r="R739" i="3" s="1"/>
  <c r="S739" i="3" s="1"/>
  <c r="AC739" i="3"/>
  <c r="AA739" i="3"/>
  <c r="Z739" i="3"/>
  <c r="T739" i="3" l="1"/>
  <c r="L738" i="3"/>
  <c r="AH739" i="3" l="1"/>
  <c r="U738" i="3"/>
  <c r="E739" i="3" s="1"/>
  <c r="H739" i="3" s="1"/>
  <c r="AG739" i="3"/>
  <c r="Y737" i="3"/>
  <c r="D739" i="3" l="1"/>
  <c r="G739" i="3" s="1"/>
  <c r="K739" i="3"/>
  <c r="AE739" i="3" s="1"/>
  <c r="F739" i="3" l="1"/>
  <c r="I739" i="3"/>
  <c r="J739" i="3"/>
  <c r="AD739" i="3" s="1"/>
  <c r="M739" i="3"/>
  <c r="N739" i="3" s="1"/>
  <c r="V739" i="3"/>
  <c r="A740" i="3"/>
  <c r="B740" i="3" s="1"/>
  <c r="W739" i="3" l="1"/>
  <c r="L739" i="3"/>
  <c r="P740" i="3"/>
  <c r="Q740" i="3" s="1"/>
  <c r="R740" i="3" s="1"/>
  <c r="S740" i="3" s="1"/>
  <c r="Z740" i="3"/>
  <c r="AC740" i="3"/>
  <c r="AA740" i="3"/>
  <c r="U739" i="3" l="1"/>
  <c r="Y738" i="3"/>
  <c r="T740" i="3"/>
  <c r="E740" i="3" l="1"/>
  <c r="H740" i="3" s="1"/>
  <c r="K740" i="3" s="1"/>
  <c r="AE740" i="3" s="1"/>
  <c r="D740" i="3"/>
  <c r="G740" i="3" s="1"/>
  <c r="AH740" i="3"/>
  <c r="AG740" i="3"/>
  <c r="F740" i="3" l="1"/>
  <c r="I740" i="3"/>
  <c r="J740" i="3"/>
  <c r="AD740" i="3" s="1"/>
  <c r="M740" i="3"/>
  <c r="N740" i="3" s="1"/>
  <c r="V740" i="3"/>
  <c r="A741" i="3"/>
  <c r="B741" i="3" s="1"/>
  <c r="W740" i="3" l="1"/>
  <c r="L740" i="3"/>
  <c r="AA741" i="3"/>
  <c r="P741" i="3"/>
  <c r="Q741" i="3" s="1"/>
  <c r="R741" i="3" s="1"/>
  <c r="S741" i="3" s="1"/>
  <c r="Z741" i="3"/>
  <c r="AC741" i="3"/>
  <c r="T741" i="3" l="1"/>
  <c r="AG741" i="3" s="1"/>
  <c r="U740" i="3"/>
  <c r="Y739" i="3"/>
  <c r="E741" i="3" l="1"/>
  <c r="H741" i="3" s="1"/>
  <c r="D741" i="3"/>
  <c r="AH741" i="3"/>
  <c r="K741" i="3" l="1"/>
  <c r="AE741" i="3" s="1"/>
  <c r="F741" i="3"/>
  <c r="G741" i="3"/>
  <c r="V741" i="3" l="1"/>
  <c r="A742" i="3"/>
  <c r="B742" i="3" s="1"/>
  <c r="I741" i="3"/>
  <c r="J741" i="3"/>
  <c r="AD741" i="3" s="1"/>
  <c r="M741" i="3"/>
  <c r="N741" i="3" s="1"/>
  <c r="L741" i="3" l="1"/>
  <c r="W741" i="3"/>
  <c r="AC742" i="3"/>
  <c r="P742" i="3"/>
  <c r="Q742" i="3" s="1"/>
  <c r="R742" i="3" s="1"/>
  <c r="S742" i="3" s="1"/>
  <c r="Z742" i="3"/>
  <c r="AA742" i="3"/>
  <c r="U741" i="3" l="1"/>
  <c r="Y740" i="3"/>
  <c r="T742" i="3"/>
  <c r="AG742" i="3" s="1"/>
  <c r="E742" i="3" l="1"/>
  <c r="H742" i="3" s="1"/>
  <c r="K742" i="3" s="1"/>
  <c r="AE742" i="3" s="1"/>
  <c r="AH742" i="3"/>
  <c r="D742" i="3"/>
  <c r="F742" i="3" l="1"/>
  <c r="G742" i="3"/>
  <c r="V742" i="3"/>
  <c r="A743" i="3"/>
  <c r="B743" i="3" s="1"/>
  <c r="I742" i="3" l="1"/>
  <c r="W742" i="3" s="1"/>
  <c r="J742" i="3"/>
  <c r="AD742" i="3" s="1"/>
  <c r="M742" i="3"/>
  <c r="N742" i="3" s="1"/>
  <c r="Z743" i="3"/>
  <c r="AA743" i="3"/>
  <c r="P743" i="3"/>
  <c r="Q743" i="3" s="1"/>
  <c r="R743" i="3" s="1"/>
  <c r="S743" i="3" s="1"/>
  <c r="AC743" i="3"/>
  <c r="T743" i="3" l="1"/>
  <c r="L742" i="3"/>
  <c r="U742" i="3" l="1"/>
  <c r="E743" i="3" s="1"/>
  <c r="H743" i="3" s="1"/>
  <c r="AH743" i="3"/>
  <c r="AG743" i="3"/>
  <c r="Y741" i="3"/>
  <c r="D743" i="3" l="1"/>
  <c r="G743" i="3" s="1"/>
  <c r="K743" i="3"/>
  <c r="AE743" i="3" s="1"/>
  <c r="F743" i="3" l="1"/>
  <c r="I743" i="3"/>
  <c r="J743" i="3"/>
  <c r="AD743" i="3" s="1"/>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Z746" i="3"/>
  <c r="P746" i="3"/>
  <c r="Q746" i="3" s="1"/>
  <c r="R746" i="3" s="1"/>
  <c r="S746" i="3" s="1"/>
  <c r="AA746" i="3"/>
  <c r="AC746" i="3"/>
  <c r="L745" i="3" l="1"/>
  <c r="U745" i="3" s="1"/>
  <c r="AD745" i="3"/>
  <c r="T746" i="3"/>
  <c r="Y744" i="3" l="1"/>
  <c r="D746" i="3"/>
  <c r="G746" i="3" s="1"/>
  <c r="AG746" i="3"/>
  <c r="E746" i="3"/>
  <c r="H746" i="3" s="1"/>
  <c r="AH746" i="3"/>
  <c r="F746" i="3" l="1"/>
  <c r="I746" i="3"/>
  <c r="J746" i="3"/>
  <c r="AD746" i="3" s="1"/>
  <c r="M746" i="3"/>
  <c r="N746" i="3" s="1"/>
  <c r="K746" i="3"/>
  <c r="AE746" i="3" s="1"/>
  <c r="V746" i="3" l="1"/>
  <c r="W746" i="3" s="1"/>
  <c r="A747" i="3"/>
  <c r="B747" i="3" s="1"/>
  <c r="L746" i="3"/>
  <c r="U746" i="3" l="1"/>
  <c r="Y745" i="3"/>
  <c r="AA747" i="3"/>
  <c r="Z747" i="3"/>
  <c r="AC747" i="3"/>
  <c r="P747" i="3"/>
  <c r="Q747" i="3" s="1"/>
  <c r="R747" i="3" s="1"/>
  <c r="S747" i="3" s="1"/>
  <c r="T747" i="3" l="1"/>
  <c r="D747" i="3" s="1"/>
  <c r="AG747" i="3" l="1"/>
  <c r="E747" i="3"/>
  <c r="H747" i="3" s="1"/>
  <c r="K747" i="3" s="1"/>
  <c r="AE747" i="3" s="1"/>
  <c r="AH747" i="3"/>
  <c r="G747" i="3"/>
  <c r="F747" i="3" l="1"/>
  <c r="I747" i="3"/>
  <c r="J747" i="3"/>
  <c r="AD747" i="3" s="1"/>
  <c r="M747" i="3"/>
  <c r="N747" i="3" s="1"/>
  <c r="V747" i="3"/>
  <c r="A748" i="3"/>
  <c r="B748" i="3" s="1"/>
  <c r="W747" i="3" l="1"/>
  <c r="L747" i="3"/>
  <c r="AC748" i="3"/>
  <c r="P748" i="3"/>
  <c r="Q748" i="3" s="1"/>
  <c r="R748" i="3" s="1"/>
  <c r="S748" i="3" s="1"/>
  <c r="Z748" i="3"/>
  <c r="AA748" i="3"/>
  <c r="U747" i="3" l="1"/>
  <c r="Y746" i="3"/>
  <c r="T748" i="3"/>
  <c r="E748" i="3" l="1"/>
  <c r="H748" i="3" s="1"/>
  <c r="K748" i="3" s="1"/>
  <c r="AE748" i="3" s="1"/>
  <c r="D748" i="3"/>
  <c r="AH748" i="3"/>
  <c r="AG748" i="3"/>
  <c r="V748" i="3" l="1"/>
  <c r="A749" i="3"/>
  <c r="B749" i="3" s="1"/>
  <c r="F748" i="3"/>
  <c r="G748" i="3"/>
  <c r="I748" i="3" l="1"/>
  <c r="W748" i="3" s="1"/>
  <c r="J748" i="3"/>
  <c r="AD748" i="3" s="1"/>
  <c r="M748" i="3"/>
  <c r="N748" i="3" s="1"/>
  <c r="AA749" i="3"/>
  <c r="Z749" i="3"/>
  <c r="P749" i="3"/>
  <c r="Q749" i="3" s="1"/>
  <c r="R749" i="3" s="1"/>
  <c r="S749" i="3" s="1"/>
  <c r="AC749" i="3"/>
  <c r="T749" i="3" l="1"/>
  <c r="L748" i="3"/>
  <c r="U748" i="3" l="1"/>
  <c r="E749" i="3" s="1"/>
  <c r="H749" i="3" s="1"/>
  <c r="AG749" i="3"/>
  <c r="AH749" i="3"/>
  <c r="Y747" i="3"/>
  <c r="K749" i="3" l="1"/>
  <c r="AE749" i="3" s="1"/>
  <c r="D749" i="3"/>
  <c r="V749" i="3" l="1"/>
  <c r="A750" i="3"/>
  <c r="B750" i="3" s="1"/>
  <c r="F749" i="3"/>
  <c r="G749" i="3"/>
  <c r="I749" i="3" l="1"/>
  <c r="W749" i="3" s="1"/>
  <c r="J749" i="3"/>
  <c r="AD749" i="3" s="1"/>
  <c r="M749" i="3"/>
  <c r="N749" i="3" s="1"/>
  <c r="AA750" i="3"/>
  <c r="AC750" i="3"/>
  <c r="Z750" i="3"/>
  <c r="P750" i="3"/>
  <c r="Q750" i="3" s="1"/>
  <c r="R750" i="3" s="1"/>
  <c r="S750" i="3" s="1"/>
  <c r="T750" i="3" l="1"/>
  <c r="L749" i="3"/>
  <c r="AH750" i="3" l="1"/>
  <c r="AG750" i="3"/>
  <c r="U749" i="3"/>
  <c r="D750" i="3" s="1"/>
  <c r="Y748" i="3"/>
  <c r="G750" i="3" l="1"/>
  <c r="E750" i="3"/>
  <c r="H750" i="3" s="1"/>
  <c r="F750" i="3" l="1"/>
  <c r="I750" i="3"/>
  <c r="J750" i="3"/>
  <c r="AD750" i="3" s="1"/>
  <c r="M750" i="3"/>
  <c r="N750" i="3" s="1"/>
  <c r="K750" i="3"/>
  <c r="AE750" i="3" s="1"/>
  <c r="V750" i="3" l="1"/>
  <c r="W750" i="3" s="1"/>
  <c r="A751" i="3"/>
  <c r="B751" i="3" s="1"/>
  <c r="L750" i="3"/>
  <c r="U750" i="3" l="1"/>
  <c r="Y749" i="3"/>
  <c r="P751" i="3"/>
  <c r="Q751" i="3" s="1"/>
  <c r="R751" i="3" s="1"/>
  <c r="S751" i="3" s="1"/>
  <c r="Z751" i="3"/>
  <c r="AA751" i="3"/>
  <c r="AC751" i="3"/>
  <c r="T751" i="3" l="1"/>
  <c r="AH751" i="3" s="1"/>
  <c r="E751" i="3" l="1"/>
  <c r="H751" i="3" s="1"/>
  <c r="K751" i="3" s="1"/>
  <c r="AE751" i="3" s="1"/>
  <c r="AG751" i="3"/>
  <c r="D751" i="3"/>
  <c r="F751" i="3" l="1"/>
  <c r="G751" i="3"/>
  <c r="V751" i="3"/>
  <c r="A752" i="3"/>
  <c r="B752" i="3" s="1"/>
  <c r="AA752" i="3" l="1"/>
  <c r="Z752" i="3"/>
  <c r="AC752" i="3"/>
  <c r="P752" i="3"/>
  <c r="Q752" i="3" s="1"/>
  <c r="R752" i="3" s="1"/>
  <c r="S752" i="3" s="1"/>
  <c r="I751" i="3"/>
  <c r="W751" i="3" s="1"/>
  <c r="J751" i="3"/>
  <c r="AD751" i="3" s="1"/>
  <c r="M751" i="3"/>
  <c r="N751" i="3" s="1"/>
  <c r="L751" i="3" l="1"/>
  <c r="T752" i="3"/>
  <c r="U751" i="3" l="1"/>
  <c r="E752" i="3" s="1"/>
  <c r="H752" i="3" s="1"/>
  <c r="AG752" i="3"/>
  <c r="AH752" i="3"/>
  <c r="Y750" i="3"/>
  <c r="K752" i="3" l="1"/>
  <c r="AE752" i="3" s="1"/>
  <c r="D752" i="3"/>
  <c r="V752" i="3" l="1"/>
  <c r="A753" i="3"/>
  <c r="B753" i="3" s="1"/>
  <c r="F752" i="3"/>
  <c r="G752" i="3"/>
  <c r="I752" i="3" l="1"/>
  <c r="W752" i="3" s="1"/>
  <c r="J752" i="3"/>
  <c r="AD752" i="3" s="1"/>
  <c r="M752" i="3"/>
  <c r="N752" i="3" s="1"/>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AD753" i="3" s="1"/>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I755" i="3"/>
  <c r="W755" i="3" s="1"/>
  <c r="J755" i="3"/>
  <c r="AD755" i="3" s="1"/>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AC757" i="3"/>
  <c r="P757" i="3"/>
  <c r="Q757" i="3" s="1"/>
  <c r="R757" i="3" s="1"/>
  <c r="S757" i="3" s="1"/>
  <c r="Z757" i="3"/>
  <c r="AA757" i="3"/>
  <c r="L756" i="3" l="1"/>
  <c r="U756" i="3" s="1"/>
  <c r="AD756" i="3"/>
  <c r="T757" i="3"/>
  <c r="Y755" i="3" l="1"/>
  <c r="E757" i="3"/>
  <c r="H757" i="3" s="1"/>
  <c r="K757" i="3" s="1"/>
  <c r="AE757" i="3" s="1"/>
  <c r="AH757" i="3"/>
  <c r="D757" i="3"/>
  <c r="AG757" i="3"/>
  <c r="V757" i="3" l="1"/>
  <c r="A758" i="3"/>
  <c r="B758" i="3" s="1"/>
  <c r="F757" i="3"/>
  <c r="G757" i="3"/>
  <c r="I757" i="3" l="1"/>
  <c r="W757" i="3" s="1"/>
  <c r="J757" i="3"/>
  <c r="AD757" i="3" s="1"/>
  <c r="M757" i="3"/>
  <c r="N757" i="3" s="1"/>
  <c r="AA758" i="3"/>
  <c r="Z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AD758" i="3" s="1"/>
  <c r="M758" i="3"/>
  <c r="N758" i="3" s="1"/>
  <c r="L758" i="3" l="1"/>
  <c r="W758" i="3"/>
  <c r="P759" i="3"/>
  <c r="Q759" i="3" s="1"/>
  <c r="R759" i="3" s="1"/>
  <c r="S759" i="3" s="1"/>
  <c r="Z759" i="3"/>
  <c r="AA759" i="3"/>
  <c r="AC759" i="3"/>
  <c r="U758" i="3" l="1"/>
  <c r="Y757" i="3"/>
  <c r="T759" i="3"/>
  <c r="D759" i="3" l="1"/>
  <c r="G759" i="3" s="1"/>
  <c r="AG759" i="3"/>
  <c r="E759" i="3"/>
  <c r="H759" i="3" s="1"/>
  <c r="AH759" i="3"/>
  <c r="F759" i="3" l="1"/>
  <c r="I759" i="3"/>
  <c r="J759" i="3"/>
  <c r="AD759" i="3" s="1"/>
  <c r="M759" i="3"/>
  <c r="N759" i="3" s="1"/>
  <c r="K759" i="3"/>
  <c r="AE759" i="3" s="1"/>
  <c r="V759" i="3" l="1"/>
  <c r="W759" i="3" s="1"/>
  <c r="A760" i="3"/>
  <c r="B760" i="3" s="1"/>
  <c r="L759" i="3"/>
  <c r="U759" i="3" l="1"/>
  <c r="Y758" i="3"/>
  <c r="AA760" i="3"/>
  <c r="AC760" i="3"/>
  <c r="Z760" i="3"/>
  <c r="P760" i="3"/>
  <c r="Q760" i="3" s="1"/>
  <c r="R760" i="3" s="1"/>
  <c r="S760" i="3" s="1"/>
  <c r="T760" i="3" l="1"/>
  <c r="E760" i="3" s="1"/>
  <c r="H760" i="3" s="1"/>
  <c r="AH760" i="3" l="1"/>
  <c r="AG760" i="3"/>
  <c r="D760" i="3"/>
  <c r="G760" i="3" s="1"/>
  <c r="K760" i="3"/>
  <c r="AE760" i="3" s="1"/>
  <c r="F760" i="3" l="1"/>
  <c r="I760" i="3"/>
  <c r="J760" i="3"/>
  <c r="AD760" i="3" s="1"/>
  <c r="M760" i="3"/>
  <c r="N760" i="3" s="1"/>
  <c r="V760" i="3"/>
  <c r="A761" i="3"/>
  <c r="B761" i="3" s="1"/>
  <c r="W760" i="3" l="1"/>
  <c r="L760" i="3"/>
  <c r="P761" i="3"/>
  <c r="Q761" i="3" s="1"/>
  <c r="R761" i="3" s="1"/>
  <c r="S761" i="3" s="1"/>
  <c r="Z761" i="3"/>
  <c r="AA761" i="3"/>
  <c r="AC761" i="3"/>
  <c r="T761" i="3" l="1"/>
  <c r="U760" i="3"/>
  <c r="Y759" i="3"/>
  <c r="D761" i="3" l="1"/>
  <c r="G761" i="3" s="1"/>
  <c r="AG761" i="3"/>
  <c r="AH761" i="3"/>
  <c r="E761" i="3"/>
  <c r="H761" i="3" s="1"/>
  <c r="F761" i="3" l="1"/>
  <c r="I761" i="3"/>
  <c r="J761" i="3"/>
  <c r="AD761" i="3" s="1"/>
  <c r="M761" i="3"/>
  <c r="N761" i="3" s="1"/>
  <c r="K761" i="3"/>
  <c r="AE761" i="3" s="1"/>
  <c r="V761" i="3" l="1"/>
  <c r="W761" i="3" s="1"/>
  <c r="A762" i="3"/>
  <c r="B762" i="3" s="1"/>
  <c r="L761" i="3"/>
  <c r="U761" i="3" l="1"/>
  <c r="Y760" i="3"/>
  <c r="AA762" i="3"/>
  <c r="Z762" i="3"/>
  <c r="AC762" i="3"/>
  <c r="P762" i="3"/>
  <c r="Q762" i="3" s="1"/>
  <c r="R762" i="3" s="1"/>
  <c r="S762" i="3" s="1"/>
  <c r="T762" i="3" l="1"/>
  <c r="D762" i="3" s="1"/>
  <c r="E762" i="3" l="1"/>
  <c r="H762" i="3" s="1"/>
  <c r="K762" i="3" s="1"/>
  <c r="AE762" i="3" s="1"/>
  <c r="AH762" i="3"/>
  <c r="AG762" i="3"/>
  <c r="G762" i="3"/>
  <c r="F762" i="3" l="1"/>
  <c r="I762" i="3"/>
  <c r="J762" i="3"/>
  <c r="AD762" i="3" s="1"/>
  <c r="M762" i="3"/>
  <c r="N762" i="3" s="1"/>
  <c r="V762" i="3"/>
  <c r="A763" i="3"/>
  <c r="B763" i="3" s="1"/>
  <c r="W762" i="3" l="1"/>
  <c r="L762" i="3"/>
  <c r="AC763" i="3"/>
  <c r="Z763" i="3"/>
  <c r="AA763" i="3"/>
  <c r="P763" i="3"/>
  <c r="Q763" i="3" s="1"/>
  <c r="R763" i="3" s="1"/>
  <c r="S763" i="3" s="1"/>
  <c r="U762" i="3" l="1"/>
  <c r="Y761" i="3"/>
  <c r="T763" i="3"/>
  <c r="D763" i="3" l="1"/>
  <c r="G763" i="3" s="1"/>
  <c r="AG763" i="3"/>
  <c r="AH763" i="3"/>
  <c r="E763" i="3"/>
  <c r="H763" i="3" s="1"/>
  <c r="K763" i="3" s="1"/>
  <c r="AE763" i="3" s="1"/>
  <c r="F763" i="3" l="1"/>
  <c r="I763" i="3"/>
  <c r="J763" i="3"/>
  <c r="AD763" i="3" s="1"/>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I764" i="3"/>
  <c r="W764" i="3" s="1"/>
  <c r="J764" i="3"/>
  <c r="AD764" i="3" s="1"/>
  <c r="M764" i="3"/>
  <c r="N764" i="3" s="1"/>
  <c r="T765" i="3" l="1"/>
  <c r="L764" i="3"/>
  <c r="AG765" i="3" l="1"/>
  <c r="AH765" i="3"/>
  <c r="U764" i="3"/>
  <c r="D765" i="3" s="1"/>
  <c r="Y763" i="3"/>
  <c r="E765" i="3" l="1"/>
  <c r="H765" i="3" s="1"/>
  <c r="K765" i="3" s="1"/>
  <c r="AE765" i="3" s="1"/>
  <c r="G765" i="3"/>
  <c r="F765" i="3" l="1"/>
  <c r="I765" i="3"/>
  <c r="J765" i="3"/>
  <c r="AD765" i="3" s="1"/>
  <c r="M765" i="3"/>
  <c r="N765" i="3" s="1"/>
  <c r="V765" i="3"/>
  <c r="A766" i="3"/>
  <c r="B766" i="3" s="1"/>
  <c r="W765" i="3" l="1"/>
  <c r="L765"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AD766" i="3" s="1"/>
  <c r="M766" i="3"/>
  <c r="N766" i="3" s="1"/>
  <c r="P767" i="3"/>
  <c r="Q767" i="3" s="1"/>
  <c r="R767" i="3" s="1"/>
  <c r="S767" i="3" s="1"/>
  <c r="AC767" i="3"/>
  <c r="AA767" i="3"/>
  <c r="Z767" i="3"/>
  <c r="T767" i="3" l="1"/>
  <c r="L766" i="3"/>
  <c r="AH767" i="3" l="1"/>
  <c r="AG767" i="3"/>
  <c r="U766" i="3"/>
  <c r="D767" i="3" s="1"/>
  <c r="Y765" i="3"/>
  <c r="E767" i="3" l="1"/>
  <c r="H767" i="3" s="1"/>
  <c r="K767" i="3" s="1"/>
  <c r="AE767" i="3" s="1"/>
  <c r="G767" i="3"/>
  <c r="F767" i="3" l="1"/>
  <c r="I767" i="3"/>
  <c r="J767" i="3"/>
  <c r="AD767" i="3" s="1"/>
  <c r="M767" i="3"/>
  <c r="N767" i="3" s="1"/>
  <c r="V767" i="3"/>
  <c r="A768" i="3"/>
  <c r="B768" i="3" s="1"/>
  <c r="W767" i="3" l="1"/>
  <c r="L767" i="3"/>
  <c r="AC768" i="3"/>
  <c r="AA768" i="3"/>
  <c r="P768" i="3"/>
  <c r="Q768" i="3" s="1"/>
  <c r="R768" i="3" s="1"/>
  <c r="S768" i="3" s="1"/>
  <c r="Z768" i="3"/>
  <c r="T768" i="3" l="1"/>
  <c r="AG768" i="3" s="1"/>
  <c r="U767" i="3"/>
  <c r="Y766" i="3"/>
  <c r="D768" i="3" l="1"/>
  <c r="G768" i="3" s="1"/>
  <c r="AH768" i="3"/>
  <c r="E768" i="3"/>
  <c r="H768" i="3" s="1"/>
  <c r="K768" i="3" l="1"/>
  <c r="AE768" i="3" s="1"/>
  <c r="I768" i="3"/>
  <c r="J768" i="3"/>
  <c r="AD768" i="3" s="1"/>
  <c r="M768" i="3"/>
  <c r="N768" i="3" s="1"/>
  <c r="F768" i="3"/>
  <c r="L768" i="3" l="1"/>
  <c r="V768" i="3"/>
  <c r="W768" i="3" s="1"/>
  <c r="A769" i="3"/>
  <c r="B769" i="3" s="1"/>
  <c r="AC769" i="3" l="1"/>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AD769" i="3" s="1"/>
  <c r="M769" i="3"/>
  <c r="N769" i="3" s="1"/>
  <c r="W769" i="3" l="1"/>
  <c r="L769" i="3"/>
  <c r="AC770" i="3"/>
  <c r="P770" i="3"/>
  <c r="Q770" i="3" s="1"/>
  <c r="R770" i="3" s="1"/>
  <c r="S770" i="3" s="1"/>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AA771" i="3"/>
  <c r="AC771" i="3"/>
  <c r="P771" i="3"/>
  <c r="Q771" i="3" s="1"/>
  <c r="R771" i="3" s="1"/>
  <c r="S771" i="3" s="1"/>
  <c r="Z771" i="3"/>
  <c r="L770" i="3" l="1"/>
  <c r="U770" i="3" s="1"/>
  <c r="AD770" i="3"/>
  <c r="T771" i="3"/>
  <c r="AH771" i="3" l="1"/>
  <c r="Y769" i="3"/>
  <c r="E771" i="3"/>
  <c r="H771" i="3" s="1"/>
  <c r="AG771" i="3"/>
  <c r="D771" i="3"/>
  <c r="K771" i="3" l="1"/>
  <c r="AE771" i="3" s="1"/>
  <c r="F771" i="3"/>
  <c r="G771" i="3"/>
  <c r="V771" i="3" l="1"/>
  <c r="A772" i="3"/>
  <c r="B772" i="3" s="1"/>
  <c r="I771" i="3"/>
  <c r="J771" i="3"/>
  <c r="AD771" i="3" s="1"/>
  <c r="M771" i="3"/>
  <c r="N771" i="3" s="1"/>
  <c r="L771" i="3" l="1"/>
  <c r="W771"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AD772" i="3" s="1"/>
  <c r="M772" i="3"/>
  <c r="N772" i="3" s="1"/>
  <c r="W772" i="3" l="1"/>
  <c r="L772" i="3"/>
  <c r="AA773" i="3"/>
  <c r="P773" i="3"/>
  <c r="Q773" i="3" s="1"/>
  <c r="R773" i="3" s="1"/>
  <c r="S773" i="3" s="1"/>
  <c r="Z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AC774" i="3"/>
  <c r="P774" i="3"/>
  <c r="Q774" i="3" s="1"/>
  <c r="R774" i="3" s="1"/>
  <c r="S774" i="3" s="1"/>
  <c r="AA774" i="3"/>
  <c r="Z774" i="3"/>
  <c r="L773" i="3" l="1"/>
  <c r="Y772" i="3" s="1"/>
  <c r="AD773" i="3"/>
  <c r="T774" i="3"/>
  <c r="AG774" i="3" l="1"/>
  <c r="U773" i="3"/>
  <c r="E774" i="3" s="1"/>
  <c r="H774" i="3" s="1"/>
  <c r="K774" i="3" s="1"/>
  <c r="AE774" i="3" s="1"/>
  <c r="AH774" i="3"/>
  <c r="D774" i="3" l="1"/>
  <c r="F774" i="3" s="1"/>
  <c r="V774" i="3"/>
  <c r="A775" i="3"/>
  <c r="B775" i="3" s="1"/>
  <c r="G774" i="3" l="1"/>
  <c r="M774" i="3" s="1"/>
  <c r="N774" i="3" s="1"/>
  <c r="P775" i="3"/>
  <c r="Q775" i="3" s="1"/>
  <c r="R775" i="3" s="1"/>
  <c r="S775" i="3" s="1"/>
  <c r="Z775" i="3"/>
  <c r="AD775" i="3"/>
  <c r="AA775" i="3"/>
  <c r="AC775" i="3"/>
  <c r="J774" i="3" l="1"/>
  <c r="L774" i="3" s="1"/>
  <c r="Y773" i="3" s="1"/>
  <c r="I774" i="3"/>
  <c r="W774"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A778" i="3"/>
  <c r="AC778" i="3"/>
  <c r="U777" i="3" l="1"/>
  <c r="Y776" i="3"/>
  <c r="T778" i="3"/>
  <c r="AH778" i="3" s="1"/>
  <c r="E778" i="3" l="1"/>
  <c r="H778" i="3" s="1"/>
  <c r="K778" i="3" s="1"/>
  <c r="AE778" i="3" s="1"/>
  <c r="AG778" i="3"/>
  <c r="D778" i="3"/>
  <c r="G778" i="3" s="1"/>
  <c r="F778" i="3" l="1"/>
  <c r="I778" i="3"/>
  <c r="J778" i="3"/>
  <c r="AD778" i="3" s="1"/>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P785" i="3"/>
  <c r="Q785" i="3" s="1"/>
  <c r="R785" i="3" s="1"/>
  <c r="S785" i="3" s="1"/>
  <c r="AC785" i="3"/>
  <c r="Z785" i="3"/>
  <c r="U784" i="3" l="1"/>
  <c r="Y783" i="3"/>
  <c r="T785" i="3"/>
  <c r="AH785" i="3" s="1"/>
  <c r="E785" i="3" l="1"/>
  <c r="H785" i="3" s="1"/>
  <c r="AG785" i="3"/>
  <c r="D785" i="3"/>
  <c r="K785" i="3" l="1"/>
  <c r="AE785" i="3" s="1"/>
  <c r="F785" i="3"/>
  <c r="G785" i="3"/>
  <c r="I785" i="3" l="1"/>
  <c r="J785" i="3"/>
  <c r="AD785" i="3" s="1"/>
  <c r="M785" i="3"/>
  <c r="N785" i="3" s="1"/>
  <c r="V785" i="3"/>
  <c r="A786" i="3"/>
  <c r="B786" i="3" s="1"/>
  <c r="W785" i="3" l="1"/>
  <c r="L785" i="3"/>
  <c r="Z786" i="3"/>
  <c r="AA786" i="3"/>
  <c r="P786" i="3"/>
  <c r="Q786" i="3" s="1"/>
  <c r="R786" i="3" s="1"/>
  <c r="S786" i="3" s="1"/>
  <c r="AC786" i="3"/>
  <c r="U785" i="3" l="1"/>
  <c r="Y784" i="3"/>
  <c r="T786" i="3"/>
  <c r="E786" i="3" l="1"/>
  <c r="H786" i="3" s="1"/>
  <c r="K786" i="3" s="1"/>
  <c r="AE786" i="3" s="1"/>
  <c r="AG786" i="3"/>
  <c r="D786" i="3"/>
  <c r="G786" i="3" s="1"/>
  <c r="AH786" i="3"/>
  <c r="F786" i="3" l="1"/>
  <c r="I786" i="3"/>
  <c r="J786" i="3"/>
  <c r="AD786" i="3" s="1"/>
  <c r="M786" i="3"/>
  <c r="N786" i="3" s="1"/>
  <c r="V786" i="3"/>
  <c r="A787" i="3"/>
  <c r="B787" i="3" s="1"/>
  <c r="L786" i="3" l="1"/>
  <c r="W786" i="3"/>
  <c r="AC787" i="3"/>
  <c r="P787" i="3"/>
  <c r="Q787" i="3" s="1"/>
  <c r="R787" i="3" s="1"/>
  <c r="S787" i="3" s="1"/>
  <c r="Z787" i="3"/>
  <c r="AA787" i="3"/>
  <c r="U786" i="3" l="1"/>
  <c r="Y785" i="3"/>
  <c r="T787" i="3"/>
  <c r="D787" i="3" l="1"/>
  <c r="G787" i="3" s="1"/>
  <c r="AH787" i="3"/>
  <c r="E787" i="3"/>
  <c r="H787" i="3" s="1"/>
  <c r="AG787" i="3"/>
  <c r="F787" i="3" l="1"/>
  <c r="I787" i="3"/>
  <c r="J787" i="3"/>
  <c r="AD787" i="3" s="1"/>
  <c r="M787" i="3"/>
  <c r="N787" i="3" s="1"/>
  <c r="K787" i="3"/>
  <c r="AE787" i="3" s="1"/>
  <c r="V787" i="3" l="1"/>
  <c r="W787" i="3" s="1"/>
  <c r="A788" i="3"/>
  <c r="B788" i="3" s="1"/>
  <c r="L787" i="3"/>
  <c r="U787" i="3" l="1"/>
  <c r="Y786" i="3"/>
  <c r="AC788" i="3"/>
  <c r="Z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W788" i="3"/>
  <c r="P789" i="3"/>
  <c r="Q789" i="3" s="1"/>
  <c r="R789" i="3" s="1"/>
  <c r="S789" i="3" s="1"/>
  <c r="AC789" i="3"/>
  <c r="AA789" i="3"/>
  <c r="Z789" i="3"/>
  <c r="L788" i="3" l="1"/>
  <c r="U788" i="3" s="1"/>
  <c r="AD788" i="3"/>
  <c r="T789" i="3"/>
  <c r="Y787" i="3" l="1"/>
  <c r="D789" i="3"/>
  <c r="G789" i="3" s="1"/>
  <c r="E789" i="3"/>
  <c r="H789" i="3" s="1"/>
  <c r="AH789" i="3"/>
  <c r="AG789" i="3"/>
  <c r="F789" i="3" l="1"/>
  <c r="I789" i="3"/>
  <c r="J789" i="3"/>
  <c r="AD789" i="3" s="1"/>
  <c r="M789" i="3"/>
  <c r="N789" i="3" s="1"/>
  <c r="K789" i="3"/>
  <c r="AE789" i="3" s="1"/>
  <c r="L789" i="3" l="1"/>
  <c r="V789" i="3"/>
  <c r="W789" i="3" s="1"/>
  <c r="A790" i="3"/>
  <c r="B790" i="3" s="1"/>
  <c r="AA790" i="3" l="1"/>
  <c r="AC790" i="3"/>
  <c r="Z790" i="3"/>
  <c r="P790" i="3"/>
  <c r="Q790" i="3" s="1"/>
  <c r="R790" i="3" s="1"/>
  <c r="S790" i="3" s="1"/>
  <c r="U789" i="3"/>
  <c r="Y788" i="3"/>
  <c r="T790" i="3" l="1"/>
  <c r="D790" i="3" s="1"/>
  <c r="AG790" i="3" l="1"/>
  <c r="G790" i="3"/>
  <c r="AH790" i="3"/>
  <c r="E790" i="3"/>
  <c r="H790" i="3" s="1"/>
  <c r="F790" i="3" l="1"/>
  <c r="I790" i="3"/>
  <c r="J790" i="3"/>
  <c r="AD790" i="3" s="1"/>
  <c r="M790" i="3"/>
  <c r="N790" i="3" s="1"/>
  <c r="K790" i="3"/>
  <c r="AE790" i="3" s="1"/>
  <c r="V790" i="3" l="1"/>
  <c r="W790" i="3" s="1"/>
  <c r="A791" i="3"/>
  <c r="B791" i="3" s="1"/>
  <c r="L790" i="3"/>
  <c r="U790" i="3" l="1"/>
  <c r="Y789" i="3"/>
  <c r="P791" i="3"/>
  <c r="Q791" i="3" s="1"/>
  <c r="R791" i="3" s="1"/>
  <c r="S791" i="3" s="1"/>
  <c r="AA791" i="3"/>
  <c r="AC791" i="3"/>
  <c r="Z791" i="3"/>
  <c r="T791" i="3" l="1"/>
  <c r="AG791" i="3" s="1"/>
  <c r="E791" i="3" l="1"/>
  <c r="H791" i="3" s="1"/>
  <c r="K791" i="3" s="1"/>
  <c r="AE791" i="3" s="1"/>
  <c r="D791" i="3"/>
  <c r="G791" i="3" s="1"/>
  <c r="AH791" i="3"/>
  <c r="F791" i="3" l="1"/>
  <c r="I791" i="3"/>
  <c r="J791" i="3"/>
  <c r="AD791" i="3" s="1"/>
  <c r="M791" i="3"/>
  <c r="N791" i="3" s="1"/>
  <c r="V791" i="3"/>
  <c r="A792" i="3"/>
  <c r="B792" i="3" s="1"/>
  <c r="W791" i="3" l="1"/>
  <c r="L791" i="3"/>
  <c r="P792" i="3"/>
  <c r="Q792" i="3" s="1"/>
  <c r="R792" i="3" s="1"/>
  <c r="S792" i="3" s="1"/>
  <c r="AC792" i="3"/>
  <c r="Z792" i="3"/>
  <c r="AA792" i="3"/>
  <c r="U791" i="3" l="1"/>
  <c r="Y790" i="3"/>
  <c r="T792" i="3"/>
  <c r="AG792" i="3" s="1"/>
  <c r="AH792" i="3" l="1"/>
  <c r="D792" i="3"/>
  <c r="E792" i="3"/>
  <c r="H792" i="3" s="1"/>
  <c r="F792" i="3" l="1"/>
  <c r="G792" i="3"/>
  <c r="K792" i="3"/>
  <c r="AE792" i="3" s="1"/>
  <c r="I792" i="3" l="1"/>
  <c r="J792" i="3"/>
  <c r="AD792" i="3" s="1"/>
  <c r="M792" i="3"/>
  <c r="N792" i="3" s="1"/>
  <c r="V792" i="3"/>
  <c r="A793" i="3"/>
  <c r="B793" i="3" s="1"/>
  <c r="L792" i="3" l="1"/>
  <c r="W792"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Z794" i="3"/>
  <c r="AC794" i="3"/>
  <c r="P794" i="3"/>
  <c r="Q794" i="3" s="1"/>
  <c r="R794" i="3" s="1"/>
  <c r="S794" i="3" s="1"/>
  <c r="AA794" i="3"/>
  <c r="L793" i="3" l="1"/>
  <c r="Y792" i="3" s="1"/>
  <c r="AD793" i="3"/>
  <c r="T794" i="3"/>
  <c r="U793" i="3" l="1"/>
  <c r="D794" i="3" s="1"/>
  <c r="AH794" i="3"/>
  <c r="AG794" i="3"/>
  <c r="E794" i="3" l="1"/>
  <c r="H794" i="3" s="1"/>
  <c r="K794" i="3" s="1"/>
  <c r="AE794" i="3" s="1"/>
  <c r="G794" i="3"/>
  <c r="F794" i="3" l="1"/>
  <c r="I794" i="3"/>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T798" i="3" l="1"/>
  <c r="U797" i="3"/>
  <c r="Y796" i="3"/>
  <c r="E798" i="3" l="1"/>
  <c r="H798" i="3" s="1"/>
  <c r="K798" i="3" s="1"/>
  <c r="AE798" i="3" s="1"/>
  <c r="D798" i="3"/>
  <c r="G798" i="3" s="1"/>
  <c r="AH798" i="3"/>
  <c r="AG798" i="3"/>
  <c r="F798" i="3" l="1"/>
  <c r="I798" i="3"/>
  <c r="J798" i="3"/>
  <c r="AD798" i="3" s="1"/>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C808" i="3"/>
  <c r="U807" i="3" l="1"/>
  <c r="Y806" i="3"/>
  <c r="T808" i="3"/>
  <c r="AH808" i="3" s="1"/>
  <c r="D808" i="3" l="1"/>
  <c r="G808" i="3" s="1"/>
  <c r="E808" i="3"/>
  <c r="H808" i="3" s="1"/>
  <c r="K808" i="3" s="1"/>
  <c r="AE808" i="3" s="1"/>
  <c r="AG808" i="3"/>
  <c r="F808" i="3" l="1"/>
  <c r="I808" i="3"/>
  <c r="J808" i="3"/>
  <c r="AD808" i="3" s="1"/>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AD818" i="3" s="1"/>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P828" i="3"/>
  <c r="Q828" i="3" s="1"/>
  <c r="R828" i="3" s="1"/>
  <c r="S828" i="3" s="1"/>
  <c r="AC828" i="3"/>
  <c r="AA828" i="3"/>
  <c r="Z828" i="3"/>
  <c r="U827" i="3" l="1"/>
  <c r="Y826" i="3"/>
  <c r="T828" i="3"/>
  <c r="D828" i="3" l="1"/>
  <c r="G828" i="3" s="1"/>
  <c r="AG828" i="3"/>
  <c r="AH828" i="3"/>
  <c r="E828" i="3"/>
  <c r="H828" i="3" s="1"/>
  <c r="F828" i="3" l="1"/>
  <c r="I828" i="3"/>
  <c r="J828" i="3"/>
  <c r="AD828" i="3" s="1"/>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U837" i="3" l="1"/>
  <c r="Y836" i="3"/>
  <c r="T838" i="3"/>
  <c r="AH838" i="3" s="1"/>
  <c r="E838" i="3" l="1"/>
  <c r="H838" i="3" s="1"/>
  <c r="D838" i="3"/>
  <c r="AG838" i="3"/>
  <c r="K838" i="3" l="1"/>
  <c r="AE838" i="3" s="1"/>
  <c r="F838" i="3"/>
  <c r="G838" i="3"/>
  <c r="V838" i="3" l="1"/>
  <c r="A839" i="3"/>
  <c r="B839" i="3" s="1"/>
  <c r="I838" i="3"/>
  <c r="J838" i="3"/>
  <c r="AD838" i="3" s="1"/>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AD848" i="3" s="1"/>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AD858" i="3" s="1"/>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Z868" i="3"/>
  <c r="AA868" i="3"/>
  <c r="AC868" i="3"/>
  <c r="P868" i="3"/>
  <c r="Q868" i="3" s="1"/>
  <c r="R868" i="3" s="1"/>
  <c r="S868" i="3" s="1"/>
  <c r="T868" i="3" l="1"/>
  <c r="U867" i="3"/>
  <c r="Y866" i="3"/>
  <c r="E868" i="3" l="1"/>
  <c r="H868" i="3" s="1"/>
  <c r="K868" i="3" s="1"/>
  <c r="AE868" i="3" s="1"/>
  <c r="AH868" i="3"/>
  <c r="D868" i="3"/>
  <c r="G868" i="3" s="1"/>
  <c r="AG868" i="3"/>
  <c r="F868" i="3" l="1"/>
  <c r="I868" i="3"/>
  <c r="J868" i="3"/>
  <c r="AD868" i="3" s="1"/>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C878" i="3"/>
  <c r="AA878" i="3"/>
  <c r="P878" i="3"/>
  <c r="Q878" i="3" s="1"/>
  <c r="R878" i="3" s="1"/>
  <c r="S878" i="3" s="1"/>
  <c r="T878" i="3" l="1"/>
  <c r="E878" i="3" s="1"/>
  <c r="H878" i="3" s="1"/>
  <c r="D878" i="3" l="1"/>
  <c r="G878" i="3" s="1"/>
  <c r="AG878" i="3"/>
  <c r="AH878" i="3"/>
  <c r="K878" i="3"/>
  <c r="AE878" i="3" s="1"/>
  <c r="F878" i="3" l="1"/>
  <c r="I878" i="3"/>
  <c r="J878" i="3"/>
  <c r="AD878" i="3" s="1"/>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A888" i="3"/>
  <c r="Z888" i="3"/>
  <c r="P888" i="3"/>
  <c r="Q888" i="3" s="1"/>
  <c r="R888" i="3" s="1"/>
  <c r="S888" i="3" s="1"/>
  <c r="T888" i="3" l="1"/>
  <c r="U887" i="3"/>
  <c r="Y886" i="3"/>
  <c r="E888" i="3" l="1"/>
  <c r="H888" i="3" s="1"/>
  <c r="K888" i="3" s="1"/>
  <c r="AE888" i="3" s="1"/>
  <c r="D888" i="3"/>
  <c r="G888" i="3" s="1"/>
  <c r="AG888" i="3"/>
  <c r="AH888" i="3"/>
  <c r="F888" i="3" l="1"/>
  <c r="I888" i="3"/>
  <c r="J888" i="3"/>
  <c r="AD888" i="3" s="1"/>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P898" i="3"/>
  <c r="Q898" i="3" s="1"/>
  <c r="R898" i="3" s="1"/>
  <c r="S898" i="3" s="1"/>
  <c r="Z898" i="3"/>
  <c r="AC898" i="3"/>
  <c r="U897" i="3"/>
  <c r="Y896" i="3"/>
  <c r="T898" i="3" l="1"/>
  <c r="D898" i="3" s="1"/>
  <c r="G898" i="3" l="1"/>
  <c r="AG898" i="3"/>
  <c r="E898" i="3"/>
  <c r="H898" i="3" s="1"/>
  <c r="AH898" i="3"/>
  <c r="F898" i="3" l="1"/>
  <c r="I898" i="3"/>
  <c r="J898" i="3"/>
  <c r="AD898" i="3" s="1"/>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C908" i="3"/>
  <c r="T908" i="3" l="1"/>
  <c r="L907" i="3"/>
  <c r="AG908" i="3" l="1"/>
  <c r="AH908" i="3"/>
  <c r="U907" i="3"/>
  <c r="E908" i="3" s="1"/>
  <c r="H908" i="3" s="1"/>
  <c r="Y906" i="3"/>
  <c r="D908" i="3" l="1"/>
  <c r="G908" i="3" s="1"/>
  <c r="K908" i="3"/>
  <c r="AE908" i="3" s="1"/>
  <c r="F908" i="3" l="1"/>
  <c r="I908" i="3"/>
  <c r="J908" i="3"/>
  <c r="AD908" i="3" s="1"/>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AD915" i="3"/>
  <c r="U914" i="3" l="1"/>
  <c r="Y913" i="3"/>
  <c r="T915" i="3"/>
  <c r="AH915" i="3" s="1"/>
  <c r="E915" i="3" l="1"/>
  <c r="H915" i="3" s="1"/>
  <c r="D915" i="3"/>
  <c r="AG915" i="3"/>
  <c r="K915" i="3" l="1"/>
  <c r="AE915" i="3" s="1"/>
  <c r="F915" i="3"/>
  <c r="G915" i="3"/>
  <c r="I915" i="3" l="1"/>
  <c r="J915" i="3"/>
  <c r="M915" i="3"/>
  <c r="N915" i="3" s="1"/>
  <c r="V915" i="3"/>
  <c r="A916" i="3"/>
  <c r="B916" i="3" s="1"/>
  <c r="W915" i="3" l="1"/>
  <c r="L915" i="3"/>
  <c r="AC916" i="3"/>
  <c r="AA916" i="3"/>
  <c r="Z916" i="3"/>
  <c r="P916" i="3"/>
  <c r="Q916" i="3" s="1"/>
  <c r="R916" i="3" s="1"/>
  <c r="S916" i="3" s="1"/>
  <c r="AD916" i="3"/>
  <c r="U915" i="3" l="1"/>
  <c r="Y914" i="3"/>
  <c r="T916" i="3"/>
  <c r="D916" i="3" l="1"/>
  <c r="G916" i="3" s="1"/>
  <c r="AG916" i="3"/>
  <c r="AH916" i="3"/>
  <c r="E916" i="3"/>
  <c r="H916" i="3" s="1"/>
  <c r="K916" i="3" l="1"/>
  <c r="AE916" i="3" s="1"/>
  <c r="I916" i="3"/>
  <c r="J916" i="3"/>
  <c r="M916" i="3"/>
  <c r="N916" i="3" s="1"/>
  <c r="F916" i="3"/>
  <c r="L916" i="3" l="1"/>
  <c r="V916" i="3"/>
  <c r="W916" i="3" s="1"/>
  <c r="A917" i="3"/>
  <c r="B917" i="3" s="1"/>
  <c r="U916" i="3" l="1"/>
  <c r="Y915" i="3"/>
  <c r="AD917" i="3"/>
  <c r="AC917" i="3"/>
  <c r="Z917" i="3"/>
  <c r="P917" i="3"/>
  <c r="Q917" i="3" s="1"/>
  <c r="R917" i="3" s="1"/>
  <c r="S917" i="3" s="1"/>
  <c r="AA917" i="3"/>
  <c r="T917" i="3" l="1"/>
  <c r="AG917" i="3" s="1"/>
  <c r="E917" i="3" l="1"/>
  <c r="H917" i="3" s="1"/>
  <c r="K917" i="3" s="1"/>
  <c r="AE917" i="3" s="1"/>
  <c r="AH917" i="3"/>
  <c r="D917" i="3"/>
  <c r="F917" i="3" l="1"/>
  <c r="G917" i="3"/>
  <c r="J917" i="3" s="1"/>
  <c r="V917" i="3"/>
  <c r="A918" i="3"/>
  <c r="B918" i="3" s="1"/>
  <c r="M917" i="3" l="1"/>
  <c r="N917" i="3" s="1"/>
  <c r="I917" i="3"/>
  <c r="W917" i="3" s="1"/>
  <c r="L917" i="3"/>
  <c r="AC918" i="3"/>
  <c r="AA918" i="3"/>
  <c r="Z918" i="3"/>
  <c r="P918" i="3"/>
  <c r="Q918" i="3" s="1"/>
  <c r="R918" i="3" s="1"/>
  <c r="S918" i="3" s="1"/>
  <c r="T918" i="3" l="1"/>
  <c r="U917" i="3"/>
  <c r="Y916" i="3"/>
  <c r="E918" i="3" l="1"/>
  <c r="H918" i="3" s="1"/>
  <c r="K918" i="3" s="1"/>
  <c r="AE918" i="3" s="1"/>
  <c r="AH918" i="3"/>
  <c r="D918" i="3"/>
  <c r="G918" i="3" s="1"/>
  <c r="AG918" i="3"/>
  <c r="F918" i="3" l="1"/>
  <c r="I918" i="3"/>
  <c r="J918" i="3"/>
  <c r="AD918" i="3" s="1"/>
  <c r="M918" i="3"/>
  <c r="N918" i="3" s="1"/>
  <c r="V918" i="3"/>
  <c r="A919" i="3"/>
  <c r="B919" i="3" s="1"/>
  <c r="L918" i="3" l="1"/>
  <c r="W918" i="3"/>
  <c r="P919" i="3"/>
  <c r="Q919" i="3" s="1"/>
  <c r="R919" i="3" s="1"/>
  <c r="S919" i="3" s="1"/>
  <c r="Z919" i="3"/>
  <c r="AC919" i="3"/>
  <c r="AD919" i="3"/>
  <c r="AA919" i="3"/>
  <c r="U918" i="3" l="1"/>
  <c r="Y917" i="3"/>
  <c r="T919" i="3"/>
  <c r="AG919" i="3" s="1"/>
  <c r="E919" i="3" l="1"/>
  <c r="H919" i="3" s="1"/>
  <c r="K919" i="3" s="1"/>
  <c r="AE919" i="3" s="1"/>
  <c r="AH919" i="3"/>
  <c r="D919" i="3"/>
  <c r="V919" i="3" l="1"/>
  <c r="A920" i="3"/>
  <c r="B920" i="3" s="1"/>
  <c r="F919" i="3"/>
  <c r="G919" i="3"/>
  <c r="I919" i="3" l="1"/>
  <c r="W919" i="3" s="1"/>
  <c r="J919" i="3"/>
  <c r="M919" i="3"/>
  <c r="N919" i="3" s="1"/>
  <c r="AD920" i="3"/>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M920" i="3"/>
  <c r="N920" i="3" s="1"/>
  <c r="W920" i="3" l="1"/>
  <c r="L920" i="3"/>
  <c r="AA921" i="3"/>
  <c r="Z921" i="3"/>
  <c r="P921" i="3"/>
  <c r="Q921" i="3" s="1"/>
  <c r="R921" i="3" s="1"/>
  <c r="S921" i="3" s="1"/>
  <c r="AD921" i="3"/>
  <c r="AC921" i="3"/>
  <c r="U920" i="3" l="1"/>
  <c r="Y919" i="3"/>
  <c r="T921" i="3"/>
  <c r="AG921" i="3" s="1"/>
  <c r="E921" i="3" l="1"/>
  <c r="H921" i="3" s="1"/>
  <c r="K921" i="3" s="1"/>
  <c r="AE921" i="3" s="1"/>
  <c r="AH921" i="3"/>
  <c r="D921" i="3"/>
  <c r="G921" i="3" s="1"/>
  <c r="F921" i="3" l="1"/>
  <c r="I921" i="3"/>
  <c r="J921" i="3"/>
  <c r="M921" i="3"/>
  <c r="N921" i="3" s="1"/>
  <c r="V921" i="3"/>
  <c r="A922" i="3"/>
  <c r="B922" i="3" s="1"/>
  <c r="W921" i="3" l="1"/>
  <c r="L921" i="3"/>
  <c r="AC922" i="3"/>
  <c r="AA922" i="3"/>
  <c r="Z922" i="3"/>
  <c r="P922" i="3"/>
  <c r="Q922" i="3" s="1"/>
  <c r="R922" i="3" s="1"/>
  <c r="S922" i="3" s="1"/>
  <c r="AD922" i="3"/>
  <c r="U921" i="3" l="1"/>
  <c r="Y920" i="3"/>
  <c r="T922" i="3"/>
  <c r="E922" i="3" l="1"/>
  <c r="H922" i="3" s="1"/>
  <c r="K922" i="3" s="1"/>
  <c r="AE922" i="3" s="1"/>
  <c r="AH922" i="3"/>
  <c r="D922" i="3"/>
  <c r="AG922" i="3"/>
  <c r="F922" i="3" l="1"/>
  <c r="G922" i="3"/>
  <c r="V922" i="3"/>
  <c r="A923" i="3"/>
  <c r="B923" i="3" s="1"/>
  <c r="AD923" i="3" l="1"/>
  <c r="AC923" i="3"/>
  <c r="Z923" i="3"/>
  <c r="AA923" i="3"/>
  <c r="P923" i="3"/>
  <c r="Q923" i="3" s="1"/>
  <c r="R923" i="3" s="1"/>
  <c r="S923" i="3" s="1"/>
  <c r="I922" i="3"/>
  <c r="W922" i="3" s="1"/>
  <c r="J922" i="3"/>
  <c r="M922" i="3"/>
  <c r="N922" i="3" s="1"/>
  <c r="L922" i="3" l="1"/>
  <c r="T923" i="3"/>
  <c r="AH923" i="3" l="1"/>
  <c r="AG923" i="3"/>
  <c r="U922" i="3"/>
  <c r="D923" i="3" s="1"/>
  <c r="Y921" i="3"/>
  <c r="E923" i="3" l="1"/>
  <c r="H923" i="3" s="1"/>
  <c r="K923" i="3" s="1"/>
  <c r="AE923" i="3" s="1"/>
  <c r="G923" i="3"/>
  <c r="F923" i="3" l="1"/>
  <c r="V923" i="3"/>
  <c r="A924" i="3"/>
  <c r="B924" i="3" s="1"/>
  <c r="I923" i="3"/>
  <c r="J923" i="3"/>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A928" i="3"/>
  <c r="Z928" i="3"/>
  <c r="P928" i="3"/>
  <c r="Q928" i="3" s="1"/>
  <c r="R928" i="3" s="1"/>
  <c r="S928" i="3" s="1"/>
  <c r="T928" i="3" l="1"/>
  <c r="D928" i="3" s="1"/>
  <c r="AH928" i="3" l="1"/>
  <c r="E928" i="3"/>
  <c r="H928" i="3" s="1"/>
  <c r="K928" i="3" s="1"/>
  <c r="AE928" i="3" s="1"/>
  <c r="AG928" i="3"/>
  <c r="G928" i="3"/>
  <c r="F928" i="3" l="1"/>
  <c r="I928" i="3"/>
  <c r="J928" i="3"/>
  <c r="AD928" i="3" s="1"/>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T938" i="3" l="1"/>
  <c r="AG938" i="3" s="1"/>
  <c r="U937" i="3"/>
  <c r="Y936" i="3"/>
  <c r="D938" i="3" l="1"/>
  <c r="AH938" i="3"/>
  <c r="E938" i="3"/>
  <c r="H938" i="3" s="1"/>
  <c r="F938" i="3" l="1"/>
  <c r="G938" i="3"/>
  <c r="J938" i="3" s="1"/>
  <c r="AD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D945" i="3"/>
  <c r="AA945" i="3"/>
  <c r="U944" i="3" l="1"/>
  <c r="Y943" i="3"/>
  <c r="T945" i="3"/>
  <c r="D945" i="3" l="1"/>
  <c r="G945" i="3" s="1"/>
  <c r="AH945" i="3"/>
  <c r="E945" i="3"/>
  <c r="H945" i="3" s="1"/>
  <c r="AG945" i="3"/>
  <c r="F945" i="3" l="1"/>
  <c r="I945" i="3"/>
  <c r="J945" i="3"/>
  <c r="M945" i="3"/>
  <c r="N945" i="3" s="1"/>
  <c r="K945" i="3"/>
  <c r="AE945" i="3" s="1"/>
  <c r="V945" i="3" l="1"/>
  <c r="W945" i="3" s="1"/>
  <c r="A946" i="3"/>
  <c r="B946" i="3" s="1"/>
  <c r="L945" i="3"/>
  <c r="U945" i="3" l="1"/>
  <c r="Y944" i="3"/>
  <c r="P946" i="3"/>
  <c r="Q946" i="3" s="1"/>
  <c r="R946" i="3" s="1"/>
  <c r="S946" i="3" s="1"/>
  <c r="AC946" i="3"/>
  <c r="AA946" i="3"/>
  <c r="AD946" i="3"/>
  <c r="Z946" i="3"/>
  <c r="T946" i="3" l="1"/>
  <c r="E946" i="3" s="1"/>
  <c r="H946" i="3" s="1"/>
  <c r="K946" i="3" l="1"/>
  <c r="AE946" i="3" s="1"/>
  <c r="AG946" i="3"/>
  <c r="D946" i="3"/>
  <c r="AH946" i="3"/>
  <c r="F946" i="3" l="1"/>
  <c r="G946" i="3"/>
  <c r="V946" i="3"/>
  <c r="A947" i="3"/>
  <c r="B947" i="3" s="1"/>
  <c r="Z947" i="3" l="1"/>
  <c r="AC947" i="3"/>
  <c r="P947" i="3"/>
  <c r="Q947" i="3" s="1"/>
  <c r="R947" i="3" s="1"/>
  <c r="S947" i="3" s="1"/>
  <c r="AA947" i="3"/>
  <c r="AD947" i="3"/>
  <c r="I946" i="3"/>
  <c r="W946" i="3" s="1"/>
  <c r="J946" i="3"/>
  <c r="M946" i="3"/>
  <c r="N946" i="3" s="1"/>
  <c r="L946" i="3" l="1"/>
  <c r="T947" i="3"/>
  <c r="AH947" i="3" l="1"/>
  <c r="AG947" i="3"/>
  <c r="U946" i="3"/>
  <c r="E947" i="3" s="1"/>
  <c r="H947" i="3" s="1"/>
  <c r="Y945" i="3"/>
  <c r="D947" i="3" l="1"/>
  <c r="G947" i="3" s="1"/>
  <c r="K947" i="3"/>
  <c r="AE947" i="3" s="1"/>
  <c r="F947" i="3" l="1"/>
  <c r="V947" i="3"/>
  <c r="A948" i="3"/>
  <c r="B948" i="3" s="1"/>
  <c r="I947" i="3"/>
  <c r="J947" i="3"/>
  <c r="M947" i="3"/>
  <c r="N947" i="3" s="1"/>
  <c r="W947" i="3" l="1"/>
  <c r="L947" i="3"/>
  <c r="P948" i="3"/>
  <c r="Q948" i="3" s="1"/>
  <c r="R948" i="3" s="1"/>
  <c r="S948" i="3" s="1"/>
  <c r="AA948" i="3"/>
  <c r="Z948" i="3"/>
  <c r="AC948" i="3"/>
  <c r="U947" i="3" l="1"/>
  <c r="Y946" i="3"/>
  <c r="T948" i="3"/>
  <c r="AH948" i="3" s="1"/>
  <c r="AG948" i="3" l="1"/>
  <c r="E948" i="3"/>
  <c r="H948" i="3" s="1"/>
  <c r="D948" i="3"/>
  <c r="K948" i="3" l="1"/>
  <c r="AE948" i="3" s="1"/>
  <c r="F948" i="3"/>
  <c r="G948" i="3"/>
  <c r="I948" i="3" l="1"/>
  <c r="J948" i="3"/>
  <c r="AD948" i="3" s="1"/>
  <c r="M948" i="3"/>
  <c r="N948" i="3" s="1"/>
  <c r="V948" i="3"/>
  <c r="A949" i="3"/>
  <c r="B949" i="3" s="1"/>
  <c r="W948" i="3" l="1"/>
  <c r="L948" i="3"/>
  <c r="AD949" i="3"/>
  <c r="AA949" i="3"/>
  <c r="AC949" i="3"/>
  <c r="Z949" i="3"/>
  <c r="P949" i="3"/>
  <c r="Q949" i="3" s="1"/>
  <c r="R949" i="3" s="1"/>
  <c r="S949" i="3" s="1"/>
  <c r="U948" i="3" l="1"/>
  <c r="Y947" i="3"/>
  <c r="T949" i="3"/>
  <c r="AH949" i="3" s="1"/>
  <c r="AG949" i="3" l="1"/>
  <c r="D949" i="3"/>
  <c r="G949" i="3" s="1"/>
  <c r="E949" i="3"/>
  <c r="H949" i="3" s="1"/>
  <c r="K949" i="3" s="1"/>
  <c r="AE949" i="3" s="1"/>
  <c r="F949" i="3" l="1"/>
  <c r="I949" i="3"/>
  <c r="J949" i="3"/>
  <c r="M949" i="3"/>
  <c r="N949" i="3" s="1"/>
  <c r="V949" i="3"/>
  <c r="A950" i="3"/>
  <c r="B950" i="3" s="1"/>
  <c r="W949" i="3" l="1"/>
  <c r="L949" i="3"/>
  <c r="Z950" i="3"/>
  <c r="AC950" i="3"/>
  <c r="P950" i="3"/>
  <c r="Q950" i="3" s="1"/>
  <c r="R950" i="3" s="1"/>
  <c r="S950" i="3" s="1"/>
  <c r="AD950" i="3"/>
  <c r="AA950" i="3"/>
  <c r="T950" i="3" l="1"/>
  <c r="U949" i="3"/>
  <c r="Y948" i="3"/>
  <c r="D950" i="3" l="1"/>
  <c r="G950" i="3" s="1"/>
  <c r="AG950" i="3"/>
  <c r="E950" i="3"/>
  <c r="H950" i="3" s="1"/>
  <c r="K950" i="3" s="1"/>
  <c r="AE950" i="3" s="1"/>
  <c r="AH950" i="3"/>
  <c r="F950" i="3" l="1"/>
  <c r="I950" i="3"/>
  <c r="J950" i="3"/>
  <c r="M950" i="3"/>
  <c r="N950" i="3" s="1"/>
  <c r="V950" i="3"/>
  <c r="A951" i="3"/>
  <c r="B951" i="3" s="1"/>
  <c r="W950" i="3" l="1"/>
  <c r="P951" i="3"/>
  <c r="Q951" i="3" s="1"/>
  <c r="R951" i="3" s="1"/>
  <c r="S951" i="3" s="1"/>
  <c r="AA951" i="3"/>
  <c r="AC951" i="3"/>
  <c r="AD951" i="3"/>
  <c r="Z951" i="3"/>
  <c r="L950" i="3"/>
  <c r="T951" i="3" l="1"/>
  <c r="U950" i="3"/>
  <c r="Y949" i="3"/>
  <c r="D951" i="3" l="1"/>
  <c r="G951" i="3" s="1"/>
  <c r="AH951" i="3"/>
  <c r="AG951" i="3"/>
  <c r="E951" i="3"/>
  <c r="H951" i="3" s="1"/>
  <c r="K951" i="3" s="1"/>
  <c r="AE951" i="3" s="1"/>
  <c r="F951" i="3" l="1"/>
  <c r="I951" i="3"/>
  <c r="J951" i="3"/>
  <c r="M951" i="3"/>
  <c r="N951" i="3" s="1"/>
  <c r="V951" i="3"/>
  <c r="A952" i="3"/>
  <c r="B952" i="3" s="1"/>
  <c r="AC952" i="3" l="1"/>
  <c r="Z952" i="3"/>
  <c r="AD952" i="3"/>
  <c r="P952" i="3"/>
  <c r="Q952" i="3" s="1"/>
  <c r="R952" i="3" s="1"/>
  <c r="S952" i="3" s="1"/>
  <c r="AA952" i="3"/>
  <c r="W951" i="3"/>
  <c r="L951" i="3"/>
  <c r="U951" i="3" l="1"/>
  <c r="Y950" i="3"/>
  <c r="T952" i="3"/>
  <c r="D952" i="3" l="1"/>
  <c r="G952" i="3" s="1"/>
  <c r="E952" i="3"/>
  <c r="H952" i="3" s="1"/>
  <c r="AH952" i="3"/>
  <c r="AG952" i="3"/>
  <c r="F952" i="3" l="1"/>
  <c r="I952" i="3"/>
  <c r="J952" i="3"/>
  <c r="M952" i="3"/>
  <c r="N952" i="3" s="1"/>
  <c r="K952" i="3"/>
  <c r="AE952" i="3" s="1"/>
  <c r="V952" i="3" l="1"/>
  <c r="W952" i="3" s="1"/>
  <c r="A953" i="3"/>
  <c r="B953" i="3" s="1"/>
  <c r="L952" i="3"/>
  <c r="U952" i="3" l="1"/>
  <c r="Y951" i="3"/>
  <c r="Z953" i="3"/>
  <c r="AA953" i="3"/>
  <c r="AD953" i="3"/>
  <c r="P953" i="3"/>
  <c r="Q953" i="3" s="1"/>
  <c r="R953" i="3" s="1"/>
  <c r="S953" i="3" s="1"/>
  <c r="AC953" i="3"/>
  <c r="T953" i="3" l="1"/>
  <c r="AG953" i="3" s="1"/>
  <c r="E953" i="3" l="1"/>
  <c r="H953" i="3" s="1"/>
  <c r="K953" i="3" s="1"/>
  <c r="AE953" i="3" s="1"/>
  <c r="AH953" i="3"/>
  <c r="D953" i="3"/>
  <c r="G953" i="3" s="1"/>
  <c r="F953" i="3" l="1"/>
  <c r="I953" i="3"/>
  <c r="J953" i="3"/>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C955" i="3"/>
  <c r="Z955" i="3"/>
  <c r="U954" i="3" l="1"/>
  <c r="Y953" i="3"/>
  <c r="T955" i="3"/>
  <c r="AG955" i="3" s="1"/>
  <c r="AH955" i="3" l="1"/>
  <c r="D955" i="3"/>
  <c r="E955" i="3"/>
  <c r="H955" i="3" s="1"/>
  <c r="F955" i="3" l="1"/>
  <c r="G955" i="3"/>
  <c r="K955" i="3"/>
  <c r="AE955" i="3" s="1"/>
  <c r="I955" i="3" l="1"/>
  <c r="J955" i="3"/>
  <c r="AD955" i="3" s="1"/>
  <c r="M955" i="3"/>
  <c r="N955" i="3" s="1"/>
  <c r="V955" i="3"/>
  <c r="A956" i="3"/>
  <c r="B956" i="3" s="1"/>
  <c r="W955" i="3" l="1"/>
  <c r="L955" i="3"/>
  <c r="AA956" i="3"/>
  <c r="P956" i="3"/>
  <c r="Q956" i="3" s="1"/>
  <c r="R956" i="3" s="1"/>
  <c r="S956" i="3" s="1"/>
  <c r="Z956" i="3"/>
  <c r="AC956" i="3"/>
  <c r="U955" i="3" l="1"/>
  <c r="Y954" i="3"/>
  <c r="T956" i="3"/>
  <c r="AH956" i="3" s="1"/>
  <c r="AG956" i="3" l="1"/>
  <c r="E956" i="3"/>
  <c r="H956" i="3" s="1"/>
  <c r="K956" i="3" s="1"/>
  <c r="AE956" i="3" s="1"/>
  <c r="D956" i="3"/>
  <c r="V956" i="3" l="1"/>
  <c r="A957" i="3"/>
  <c r="B957" i="3" s="1"/>
  <c r="F956" i="3"/>
  <c r="G956" i="3"/>
  <c r="I956" i="3" l="1"/>
  <c r="W956" i="3" s="1"/>
  <c r="J956" i="3"/>
  <c r="AD956" i="3" s="1"/>
  <c r="M956" i="3"/>
  <c r="N956" i="3" s="1"/>
  <c r="AA957" i="3"/>
  <c r="Z957" i="3"/>
  <c r="P957" i="3"/>
  <c r="Q957" i="3" s="1"/>
  <c r="R957" i="3" s="1"/>
  <c r="S957" i="3" s="1"/>
  <c r="AC957" i="3"/>
  <c r="T957" i="3" l="1"/>
  <c r="L956" i="3"/>
  <c r="AG957" i="3" l="1"/>
  <c r="U956" i="3"/>
  <c r="E957" i="3" s="1"/>
  <c r="H957" i="3" s="1"/>
  <c r="AH957" i="3"/>
  <c r="Y955" i="3"/>
  <c r="D957" i="3" l="1"/>
  <c r="G957" i="3" s="1"/>
  <c r="K957" i="3"/>
  <c r="AE957" i="3" s="1"/>
  <c r="F957" i="3" l="1"/>
  <c r="I957" i="3"/>
  <c r="J957" i="3"/>
  <c r="AD957" i="3" s="1"/>
  <c r="M957" i="3"/>
  <c r="N957" i="3" s="1"/>
  <c r="V957" i="3"/>
  <c r="A958" i="3"/>
  <c r="B958" i="3" s="1"/>
  <c r="W957" i="3" l="1"/>
  <c r="L957" i="3"/>
  <c r="AC958" i="3"/>
  <c r="AA958" i="3"/>
  <c r="P958" i="3"/>
  <c r="Q958" i="3" s="1"/>
  <c r="R958" i="3" s="1"/>
  <c r="S958" i="3" s="1"/>
  <c r="Z958" i="3"/>
  <c r="T958" i="3" l="1"/>
  <c r="AH958" i="3" s="1"/>
  <c r="U957" i="3"/>
  <c r="Y956" i="3"/>
  <c r="AG958" i="3" l="1"/>
  <c r="D958" i="3"/>
  <c r="E958" i="3"/>
  <c r="H958" i="3" s="1"/>
  <c r="K958" i="3" l="1"/>
  <c r="AE958" i="3" s="1"/>
  <c r="F958" i="3"/>
  <c r="G958" i="3"/>
  <c r="V958" i="3" l="1"/>
  <c r="A959" i="3"/>
  <c r="B959" i="3" s="1"/>
  <c r="I958" i="3"/>
  <c r="J958" i="3"/>
  <c r="AD958" i="3" s="1"/>
  <c r="M958" i="3"/>
  <c r="N958" i="3" s="1"/>
  <c r="W958" i="3" l="1"/>
  <c r="L958" i="3"/>
  <c r="Z959" i="3"/>
  <c r="AC959" i="3"/>
  <c r="P959" i="3"/>
  <c r="Q959" i="3" s="1"/>
  <c r="R959" i="3" s="1"/>
  <c r="S959" i="3" s="1"/>
  <c r="AA959" i="3"/>
  <c r="T959" i="3" l="1"/>
  <c r="AH959" i="3" s="1"/>
  <c r="U958" i="3"/>
  <c r="Y957" i="3"/>
  <c r="AG959" i="3" l="1"/>
  <c r="E959" i="3"/>
  <c r="H959" i="3" s="1"/>
  <c r="K959" i="3" s="1"/>
  <c r="AE959" i="3" s="1"/>
  <c r="D959" i="3"/>
  <c r="F959" i="3" l="1"/>
  <c r="G959" i="3"/>
  <c r="V959" i="3"/>
  <c r="A960" i="3"/>
  <c r="B960" i="3" s="1"/>
  <c r="Z960" i="3" l="1"/>
  <c r="AA960" i="3"/>
  <c r="P960" i="3"/>
  <c r="Q960" i="3" s="1"/>
  <c r="R960" i="3" s="1"/>
  <c r="S960" i="3" s="1"/>
  <c r="AC960" i="3"/>
  <c r="I959" i="3"/>
  <c r="W959" i="3" s="1"/>
  <c r="J959" i="3"/>
  <c r="AD959" i="3" s="1"/>
  <c r="M959" i="3"/>
  <c r="N959" i="3" s="1"/>
  <c r="T960" i="3" l="1"/>
  <c r="L959" i="3"/>
  <c r="U959" i="3" l="1"/>
  <c r="E960" i="3" s="1"/>
  <c r="H960" i="3" s="1"/>
  <c r="AG960" i="3"/>
  <c r="AH960" i="3"/>
  <c r="Y958" i="3"/>
  <c r="D960" i="3" l="1"/>
  <c r="G960" i="3" s="1"/>
  <c r="K960" i="3"/>
  <c r="AE960" i="3" s="1"/>
  <c r="F960" i="3" l="1"/>
  <c r="I960" i="3"/>
  <c r="J960" i="3"/>
  <c r="AD960" i="3" s="1"/>
  <c r="M960" i="3"/>
  <c r="N960" i="3" s="1"/>
  <c r="V960" i="3"/>
  <c r="A961" i="3"/>
  <c r="B961" i="3" s="1"/>
  <c r="W960" i="3" l="1"/>
  <c r="P961" i="3"/>
  <c r="Q961" i="3" s="1"/>
  <c r="R961" i="3" s="1"/>
  <c r="S961" i="3" s="1"/>
  <c r="AC961" i="3"/>
  <c r="Z961" i="3"/>
  <c r="AA961" i="3"/>
  <c r="L960" i="3"/>
  <c r="U960" i="3" l="1"/>
  <c r="Y959" i="3"/>
  <c r="T961" i="3"/>
  <c r="D961" i="3" l="1"/>
  <c r="G961" i="3" s="1"/>
  <c r="AH961" i="3"/>
  <c r="AG961" i="3"/>
  <c r="E961" i="3"/>
  <c r="H961" i="3" s="1"/>
  <c r="K961" i="3" l="1"/>
  <c r="AE961" i="3" s="1"/>
  <c r="I961" i="3"/>
  <c r="J961" i="3"/>
  <c r="AD961" i="3" s="1"/>
  <c r="M961" i="3"/>
  <c r="N961" i="3" s="1"/>
  <c r="F961" i="3"/>
  <c r="L961" i="3" l="1"/>
  <c r="V961" i="3"/>
  <c r="W961" i="3" s="1"/>
  <c r="A962" i="3"/>
  <c r="B962" i="3" s="1"/>
  <c r="Z962" i="3" l="1"/>
  <c r="AA962" i="3"/>
  <c r="P962" i="3"/>
  <c r="Q962" i="3" s="1"/>
  <c r="R962" i="3" s="1"/>
  <c r="S962" i="3" s="1"/>
  <c r="AC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I962" i="3"/>
  <c r="W962" i="3" s="1"/>
  <c r="J962" i="3"/>
  <c r="AD962" i="3" s="1"/>
  <c r="M962" i="3"/>
  <c r="N962" i="3" s="1"/>
  <c r="T963" i="3" l="1"/>
  <c r="L962" i="3"/>
  <c r="U962" i="3" l="1"/>
  <c r="E963" i="3" s="1"/>
  <c r="H963" i="3" s="1"/>
  <c r="AG963" i="3"/>
  <c r="AH963" i="3"/>
  <c r="Y961" i="3"/>
  <c r="D963" i="3" l="1"/>
  <c r="G963" i="3" s="1"/>
  <c r="K963" i="3"/>
  <c r="AE963" i="3" s="1"/>
  <c r="F963" i="3" l="1"/>
  <c r="I963" i="3"/>
  <c r="J963" i="3"/>
  <c r="AD963" i="3" s="1"/>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L967" i="3" l="1"/>
  <c r="T968" i="3"/>
  <c r="AH968" i="3" l="1"/>
  <c r="AG968" i="3"/>
  <c r="U967" i="3"/>
  <c r="E968" i="3" s="1"/>
  <c r="H968" i="3" s="1"/>
  <c r="Y966" i="3"/>
  <c r="K968" i="3" l="1"/>
  <c r="AE968" i="3" s="1"/>
  <c r="D968" i="3"/>
  <c r="V968" i="3" l="1"/>
  <c r="A969" i="3"/>
  <c r="B969" i="3" s="1"/>
  <c r="F968" i="3"/>
  <c r="G968" i="3"/>
  <c r="I968" i="3" l="1"/>
  <c r="W968" i="3" s="1"/>
  <c r="J968" i="3"/>
  <c r="AD968" i="3" s="1"/>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Z978" i="3"/>
  <c r="AA978" i="3"/>
  <c r="P978" i="3"/>
  <c r="Q978" i="3" s="1"/>
  <c r="R978" i="3" s="1"/>
  <c r="S978" i="3" s="1"/>
  <c r="T978" i="3" l="1"/>
  <c r="U977" i="3"/>
  <c r="Y976" i="3"/>
  <c r="D978" i="3" l="1"/>
  <c r="G978" i="3" s="1"/>
  <c r="E978" i="3"/>
  <c r="H978" i="3" s="1"/>
  <c r="K978" i="3" s="1"/>
  <c r="AE978" i="3" s="1"/>
  <c r="AH978" i="3"/>
  <c r="AG978" i="3"/>
  <c r="F978" i="3" l="1"/>
  <c r="I978" i="3"/>
  <c r="J978" i="3"/>
  <c r="AD978" i="3" s="1"/>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D985" i="3"/>
  <c r="AC985" i="3"/>
  <c r="I984" i="3"/>
  <c r="W984" i="3" s="1"/>
  <c r="J984" i="3"/>
  <c r="AD984" i="3" s="1"/>
  <c r="M984" i="3"/>
  <c r="N984" i="3" s="1"/>
  <c r="T985" i="3" l="1"/>
  <c r="L984" i="3"/>
  <c r="AG985" i="3" l="1"/>
  <c r="AH985" i="3"/>
  <c r="U984" i="3"/>
  <c r="D985" i="3" s="1"/>
  <c r="Y983" i="3"/>
  <c r="G985" i="3" l="1"/>
  <c r="E985" i="3"/>
  <c r="H985" i="3" s="1"/>
  <c r="I985" i="3" l="1"/>
  <c r="J985" i="3"/>
  <c r="M985" i="3"/>
  <c r="N985" i="3" s="1"/>
  <c r="F985" i="3"/>
  <c r="K985" i="3"/>
  <c r="AE985" i="3" s="1"/>
  <c r="L985" i="3" l="1"/>
  <c r="V985" i="3"/>
  <c r="W985" i="3" s="1"/>
  <c r="A986" i="3"/>
  <c r="B986" i="3" s="1"/>
  <c r="U985" i="3" l="1"/>
  <c r="Y984" i="3"/>
  <c r="AC986" i="3"/>
  <c r="P986" i="3"/>
  <c r="Q986" i="3" s="1"/>
  <c r="R986" i="3" s="1"/>
  <c r="S986" i="3" s="1"/>
  <c r="Z986" i="3"/>
  <c r="AD986" i="3"/>
  <c r="AA986" i="3"/>
  <c r="T986" i="3" l="1"/>
  <c r="E986" i="3" s="1"/>
  <c r="H986" i="3" s="1"/>
  <c r="AG986" i="3" l="1"/>
  <c r="K986" i="3"/>
  <c r="AE986" i="3" s="1"/>
  <c r="AH986" i="3"/>
  <c r="D986" i="3"/>
  <c r="F986" i="3" l="1"/>
  <c r="G986" i="3"/>
  <c r="V986" i="3"/>
  <c r="A987" i="3"/>
  <c r="B987" i="3" s="1"/>
  <c r="Z987" i="3" l="1"/>
  <c r="AC987" i="3"/>
  <c r="P987" i="3"/>
  <c r="Q987" i="3" s="1"/>
  <c r="R987" i="3" s="1"/>
  <c r="S987" i="3" s="1"/>
  <c r="AD987" i="3"/>
  <c r="AA987" i="3"/>
  <c r="I986" i="3"/>
  <c r="W986" i="3" s="1"/>
  <c r="J986" i="3"/>
  <c r="M986" i="3"/>
  <c r="N986" i="3" s="1"/>
  <c r="L986" i="3" l="1"/>
  <c r="T987" i="3"/>
  <c r="U986" i="3" l="1"/>
  <c r="E987" i="3" s="1"/>
  <c r="H987" i="3" s="1"/>
  <c r="AH987" i="3"/>
  <c r="AG987" i="3"/>
  <c r="Y985" i="3"/>
  <c r="K987" i="3" l="1"/>
  <c r="AE987" i="3" s="1"/>
  <c r="D987" i="3"/>
  <c r="V987" i="3" l="1"/>
  <c r="A988" i="3"/>
  <c r="B988" i="3" s="1"/>
  <c r="F987" i="3"/>
  <c r="G987" i="3"/>
  <c r="I987" i="3" l="1"/>
  <c r="W987" i="3" s="1"/>
  <c r="J987" i="3"/>
  <c r="M987" i="3"/>
  <c r="N987" i="3" s="1"/>
  <c r="AC988" i="3"/>
  <c r="Z988" i="3"/>
  <c r="AA988" i="3"/>
  <c r="P988" i="3"/>
  <c r="Q988" i="3" s="1"/>
  <c r="R988" i="3" s="1"/>
  <c r="S988" i="3" s="1"/>
  <c r="L987" i="3" l="1"/>
  <c r="T988" i="3"/>
  <c r="AH988" i="3" l="1"/>
  <c r="U987" i="3"/>
  <c r="E988" i="3" s="1"/>
  <c r="H988" i="3" s="1"/>
  <c r="AG988" i="3"/>
  <c r="Y986" i="3"/>
  <c r="D988" i="3" l="1"/>
  <c r="G988" i="3" s="1"/>
  <c r="K988" i="3"/>
  <c r="AE988" i="3" s="1"/>
  <c r="F988" i="3" l="1"/>
  <c r="I988" i="3"/>
  <c r="J988" i="3"/>
  <c r="AD988" i="3" s="1"/>
  <c r="M988" i="3"/>
  <c r="N988" i="3" s="1"/>
  <c r="V988" i="3"/>
  <c r="A989" i="3"/>
  <c r="B989" i="3" s="1"/>
  <c r="W988" i="3" l="1"/>
  <c r="L988" i="3"/>
  <c r="AC989" i="3"/>
  <c r="AD989" i="3"/>
  <c r="P989" i="3"/>
  <c r="Q989" i="3" s="1"/>
  <c r="R989" i="3" s="1"/>
  <c r="S989" i="3" s="1"/>
  <c r="Z989" i="3"/>
  <c r="AA989" i="3"/>
  <c r="T989" i="3" l="1"/>
  <c r="U988" i="3"/>
  <c r="Y987" i="3"/>
  <c r="D989" i="3" l="1"/>
  <c r="G989" i="3" s="1"/>
  <c r="AG989" i="3"/>
  <c r="E989" i="3"/>
  <c r="H989" i="3" s="1"/>
  <c r="AH989" i="3"/>
  <c r="F989" i="3" l="1"/>
  <c r="I989" i="3"/>
  <c r="J989" i="3"/>
  <c r="M989" i="3"/>
  <c r="N989" i="3" s="1"/>
  <c r="K989" i="3"/>
  <c r="AE989" i="3" s="1"/>
  <c r="L989" i="3" l="1"/>
  <c r="V989" i="3"/>
  <c r="W989" i="3" s="1"/>
  <c r="A990" i="3"/>
  <c r="B990" i="3" s="1"/>
  <c r="U989" i="3" l="1"/>
  <c r="Y988" i="3"/>
  <c r="AC990" i="3"/>
  <c r="AD990" i="3"/>
  <c r="AA990" i="3"/>
  <c r="Z990" i="3"/>
  <c r="P990" i="3"/>
  <c r="Q990" i="3" s="1"/>
  <c r="R990" i="3" s="1"/>
  <c r="S990" i="3" s="1"/>
  <c r="T990" i="3" l="1"/>
  <c r="E990" i="3" s="1"/>
  <c r="H990" i="3" s="1"/>
  <c r="AH990" i="3" l="1"/>
  <c r="D990" i="3"/>
  <c r="G990" i="3" s="1"/>
  <c r="AG990" i="3"/>
  <c r="K990" i="3"/>
  <c r="AE990" i="3" s="1"/>
  <c r="F990" i="3" l="1"/>
  <c r="V990" i="3"/>
  <c r="A991" i="3"/>
  <c r="B991" i="3" s="1"/>
  <c r="I990" i="3"/>
  <c r="J990" i="3"/>
  <c r="M990" i="3"/>
  <c r="N990" i="3" s="1"/>
  <c r="L990" i="3" l="1"/>
  <c r="W990" i="3"/>
  <c r="AA991" i="3"/>
  <c r="AD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M991" i="3"/>
  <c r="N991" i="3" s="1"/>
  <c r="W991" i="3" l="1"/>
  <c r="L991" i="3"/>
  <c r="AC992" i="3"/>
  <c r="AD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L992" i="3" s="1"/>
  <c r="AD993" i="3"/>
  <c r="Z993" i="3"/>
  <c r="AA993" i="3"/>
  <c r="P993" i="3"/>
  <c r="Q993" i="3" s="1"/>
  <c r="R993" i="3" s="1"/>
  <c r="S993" i="3" s="1"/>
  <c r="AC993" i="3"/>
  <c r="U992" i="3" l="1"/>
  <c r="Y991" i="3"/>
  <c r="T993" i="3"/>
  <c r="AH993" i="3" s="1"/>
  <c r="D993" i="3" l="1"/>
  <c r="G993" i="3" s="1"/>
  <c r="E993" i="3"/>
  <c r="H993" i="3" s="1"/>
  <c r="K993" i="3" s="1"/>
  <c r="AE993" i="3" s="1"/>
  <c r="AG993" i="3"/>
  <c r="F993" i="3" l="1"/>
  <c r="V993" i="3"/>
  <c r="A994" i="3"/>
  <c r="B994" i="3" s="1"/>
  <c r="I993" i="3"/>
  <c r="J993" i="3"/>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C998" i="3"/>
  <c r="AA998" i="3"/>
  <c r="T998" i="3" l="1"/>
  <c r="AG998" i="3" s="1"/>
  <c r="U997" i="3"/>
  <c r="Y996" i="3"/>
  <c r="E998" i="3" l="1"/>
  <c r="H998" i="3" s="1"/>
  <c r="K998" i="3" s="1"/>
  <c r="AE998" i="3" s="1"/>
  <c r="AH998" i="3"/>
  <c r="D998" i="3"/>
  <c r="V998" i="3" l="1"/>
  <c r="A999" i="3"/>
  <c r="B999" i="3" s="1"/>
  <c r="F998" i="3"/>
  <c r="G998" i="3"/>
  <c r="I998" i="3" l="1"/>
  <c r="W998" i="3" s="1"/>
  <c r="J998" i="3"/>
  <c r="AD998" i="3" s="1"/>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A1004" i="3"/>
  <c r="B1004" i="3" s="1"/>
  <c r="W1003" i="3" l="1"/>
  <c r="L1003" i="3"/>
  <c r="P1004" i="3"/>
  <c r="Q1004" i="3" s="1"/>
  <c r="R1004" i="3" s="1"/>
  <c r="S1004" i="3" s="1"/>
  <c r="T1004" i="3" s="1"/>
  <c r="AA1004" i="3"/>
  <c r="Z1004" i="3"/>
  <c r="AC1004" i="3"/>
  <c r="AG1004" i="3" l="1"/>
  <c r="AH1004" i="3"/>
  <c r="U1003" i="3"/>
  <c r="D1004" i="3" s="1"/>
  <c r="Y1002" i="3"/>
  <c r="J50" i="1"/>
  <c r="L50" i="1"/>
  <c r="I50" i="1"/>
  <c r="J26" i="1"/>
  <c r="K50" i="1"/>
  <c r="M50" i="1"/>
  <c r="K26" i="1"/>
  <c r="I26" i="1"/>
  <c r="K28" i="1"/>
  <c r="I48" i="1"/>
  <c r="L48" i="1"/>
  <c r="M48" i="1"/>
  <c r="K48" i="1"/>
  <c r="J48" i="1"/>
  <c r="I28" i="1"/>
  <c r="J28" i="1"/>
  <c r="E1004" i="3" l="1"/>
  <c r="H1004" i="3" s="1"/>
  <c r="K1004" i="3" s="1"/>
  <c r="AE1004" i="3" s="1"/>
  <c r="C125" i="1"/>
  <c r="C158" i="1"/>
  <c r="C33" i="1"/>
  <c r="C129" i="1"/>
  <c r="C124" i="1"/>
  <c r="C127" i="1"/>
  <c r="C35" i="1"/>
  <c r="J49" i="1" s="1"/>
  <c r="C132" i="1"/>
  <c r="C133" i="1" s="1"/>
  <c r="M26" i="1"/>
  <c r="I72" i="7"/>
  <c r="I73" i="7" s="1"/>
  <c r="I70" i="7"/>
  <c r="G1004" i="3"/>
  <c r="B129" i="1"/>
  <c r="B124" i="1"/>
  <c r="B128" i="1"/>
  <c r="D158" i="1"/>
  <c r="B125" i="1"/>
  <c r="B127" i="1"/>
  <c r="B130" i="1"/>
  <c r="B126" i="1"/>
  <c r="D33" i="1"/>
  <c r="D35" i="1"/>
  <c r="J51" i="1" s="1"/>
  <c r="C149" i="1"/>
  <c r="C150" i="1" s="1"/>
  <c r="C141" i="1"/>
  <c r="C144" i="1"/>
  <c r="C146" i="1"/>
  <c r="C142" i="1"/>
  <c r="B141" i="1"/>
  <c r="B144" i="1"/>
  <c r="B143" i="1"/>
  <c r="B147" i="1"/>
  <c r="B145" i="1"/>
  <c r="B142" i="1"/>
  <c r="B146" i="1"/>
  <c r="M28" i="1"/>
  <c r="H72" i="7"/>
  <c r="H73" i="7" s="1"/>
  <c r="H70" i="7"/>
  <c r="F1004" i="3" l="1"/>
  <c r="L25" i="1" s="1"/>
  <c r="H51" i="1"/>
  <c r="D34" i="1"/>
  <c r="L44" i="1"/>
  <c r="I1004" i="3"/>
  <c r="J1004" i="3"/>
  <c r="M1004" i="3"/>
  <c r="N1004" i="3" s="1"/>
  <c r="E31" i="7"/>
  <c r="H49" i="1"/>
  <c r="C34" i="1"/>
  <c r="V1004" i="3"/>
  <c r="L1004" i="3" l="1"/>
  <c r="Y1004" i="3" s="1"/>
  <c r="AD1004" i="3"/>
  <c r="W1004" i="3"/>
  <c r="B136" i="1"/>
  <c r="B138" i="1"/>
  <c r="B134" i="1"/>
  <c r="B133" i="1" s="1"/>
  <c r="F137" i="1"/>
  <c r="F138" i="1"/>
  <c r="C136" i="1"/>
  <c r="C138" i="1"/>
  <c r="K25" i="1"/>
  <c r="K44" i="1"/>
  <c r="B151" i="1"/>
  <c r="B150" i="1" s="1"/>
  <c r="B155" i="1"/>
  <c r="B153" i="1"/>
  <c r="H117" i="7"/>
  <c r="E62" i="7"/>
  <c r="F62" i="7" s="1"/>
  <c r="E120" i="7"/>
  <c r="F120" i="7" s="1"/>
  <c r="E119" i="7"/>
  <c r="F119" i="7" s="1"/>
  <c r="E133" i="7"/>
  <c r="E63" i="7"/>
  <c r="F63" i="7" s="1"/>
  <c r="H59" i="7"/>
  <c r="L31" i="7"/>
  <c r="E65" i="7"/>
  <c r="F65" i="7" s="1"/>
  <c r="Y1003" i="3" l="1"/>
  <c r="M43" i="1" s="1"/>
  <c r="U1004" i="3"/>
  <c r="J45" i="1"/>
  <c r="I43" i="1"/>
  <c r="K43" i="1"/>
  <c r="H27" i="1"/>
  <c r="J31" i="7" s="1"/>
  <c r="L45" i="1"/>
  <c r="M45" i="1"/>
  <c r="K45" i="1"/>
  <c r="H45" i="1"/>
  <c r="I46" i="1"/>
  <c r="H46" i="1"/>
  <c r="J27" i="1"/>
  <c r="D164" i="1" s="1"/>
  <c r="M46" i="1"/>
  <c r="K27" i="1"/>
  <c r="K31" i="7" s="1"/>
  <c r="K24" i="1"/>
  <c r="S26" i="6" s="1"/>
  <c r="L43" i="1"/>
  <c r="L46" i="1"/>
  <c r="I27" i="1"/>
  <c r="B164" i="1" s="1"/>
  <c r="J43" i="1"/>
  <c r="I45" i="1"/>
  <c r="J46" i="1"/>
  <c r="H29" i="1"/>
  <c r="F155" i="1" s="1"/>
  <c r="M31" i="7"/>
  <c r="E121" i="7"/>
  <c r="F121" i="7" s="1"/>
  <c r="H116" i="7"/>
  <c r="H58" i="7"/>
  <c r="E64" i="7"/>
  <c r="F64" i="7" s="1"/>
  <c r="H55" i="7" l="1"/>
  <c r="H112" i="7"/>
  <c r="H53" i="7"/>
  <c r="P32" i="1"/>
  <c r="P33" i="1"/>
  <c r="I67" i="7"/>
  <c r="H43" i="1"/>
  <c r="K46" i="1"/>
  <c r="H47" i="1"/>
  <c r="M47" i="1"/>
  <c r="L47" i="1"/>
  <c r="K47" i="1"/>
  <c r="K29" i="1" s="1"/>
  <c r="M29" i="1" s="1"/>
  <c r="J47" i="1"/>
  <c r="J29" i="1"/>
  <c r="P31" i="1"/>
  <c r="F197" i="1"/>
  <c r="F194" i="1"/>
  <c r="F175" i="1"/>
  <c r="D189" i="1"/>
  <c r="F165" i="1"/>
  <c r="F167" i="1"/>
  <c r="D169" i="1"/>
  <c r="D195" i="1"/>
  <c r="D197" i="1"/>
  <c r="D199" i="1"/>
  <c r="D176" i="1"/>
  <c r="D171" i="1"/>
  <c r="D200" i="1"/>
  <c r="D162" i="1"/>
  <c r="D188" i="1"/>
  <c r="F198" i="1"/>
  <c r="D168" i="1"/>
  <c r="D194" i="1"/>
  <c r="F187" i="1"/>
  <c r="F166" i="1"/>
  <c r="F174" i="1"/>
  <c r="F188" i="1"/>
  <c r="F172" i="1"/>
  <c r="F173" i="1"/>
  <c r="D167" i="1"/>
  <c r="F22" i="1"/>
  <c r="D180" i="1"/>
  <c r="F201" i="1"/>
  <c r="D163" i="1"/>
  <c r="F200" i="1"/>
  <c r="D165" i="1"/>
  <c r="D173" i="1"/>
  <c r="D184" i="1"/>
  <c r="F168" i="1"/>
  <c r="F169" i="1"/>
  <c r="D193" i="1"/>
  <c r="F186" i="1"/>
  <c r="F170" i="1"/>
  <c r="H44" i="7"/>
  <c r="D174" i="1"/>
  <c r="D172" i="1"/>
  <c r="F176" i="1"/>
  <c r="D182" i="1"/>
  <c r="D192" i="1"/>
  <c r="D186" i="1"/>
  <c r="F164" i="1"/>
  <c r="F199" i="1"/>
  <c r="D196" i="1"/>
  <c r="F183" i="1"/>
  <c r="D191" i="1"/>
  <c r="F189" i="1"/>
  <c r="F163" i="1"/>
  <c r="F177" i="1"/>
  <c r="D166" i="1"/>
  <c r="D187" i="1"/>
  <c r="D198" i="1"/>
  <c r="F195" i="1"/>
  <c r="H11" i="7"/>
  <c r="F185" i="1"/>
  <c r="D183" i="1"/>
  <c r="F190" i="1"/>
  <c r="F184" i="1"/>
  <c r="F191" i="1"/>
  <c r="F182" i="1"/>
  <c r="D181" i="1"/>
  <c r="D185" i="1"/>
  <c r="F196" i="1"/>
  <c r="D177" i="1"/>
  <c r="F193" i="1"/>
  <c r="F171" i="1"/>
  <c r="D190" i="1"/>
  <c r="F192" i="1"/>
  <c r="D175" i="1"/>
  <c r="F178" i="1"/>
  <c r="F181" i="1"/>
  <c r="D170" i="1"/>
  <c r="B172" i="1"/>
  <c r="B182" i="1"/>
  <c r="B171" i="1"/>
  <c r="B187" i="1"/>
  <c r="B165" i="1"/>
  <c r="B176" i="1"/>
  <c r="B167" i="1"/>
  <c r="B175" i="1"/>
  <c r="B173" i="1"/>
  <c r="B185" i="1"/>
  <c r="H113" i="7"/>
  <c r="B181" i="1"/>
  <c r="B200" i="1"/>
  <c r="B189" i="1"/>
  <c r="B166" i="1"/>
  <c r="B186" i="1"/>
  <c r="B169" i="1"/>
  <c r="H114" i="7"/>
  <c r="B199" i="1"/>
  <c r="B198" i="1"/>
  <c r="B180" i="1"/>
  <c r="B192" i="1"/>
  <c r="C159" i="1"/>
  <c r="B193" i="1"/>
  <c r="E128" i="7"/>
  <c r="F128" i="7" s="1"/>
  <c r="B195" i="1"/>
  <c r="B174" i="1"/>
  <c r="B183" i="1"/>
  <c r="B191" i="1"/>
  <c r="B194" i="1"/>
  <c r="B177" i="1"/>
  <c r="B184" i="1"/>
  <c r="B196" i="1"/>
  <c r="F136" i="1"/>
  <c r="C137" i="1" s="1"/>
  <c r="B190" i="1"/>
  <c r="B163" i="1"/>
  <c r="B170" i="1"/>
  <c r="B197" i="1"/>
  <c r="H31" i="7"/>
  <c r="B162" i="1"/>
  <c r="B168" i="1"/>
  <c r="H54" i="7"/>
  <c r="B188" i="1"/>
  <c r="B159" i="1"/>
  <c r="H57" i="7"/>
  <c r="F154" i="1"/>
  <c r="B152" i="1" l="1"/>
  <c r="H115" i="7"/>
  <c r="S25" i="6"/>
  <c r="D31" i="7"/>
  <c r="D159" i="1"/>
  <c r="H19" i="7"/>
  <c r="C121" i="1"/>
  <c r="P30" i="1"/>
  <c r="B121" i="1"/>
  <c r="H56" i="7"/>
  <c r="E129" i="7"/>
  <c r="F129" i="7" s="1"/>
  <c r="B154" i="1"/>
  <c r="C135" i="1"/>
  <c r="C154" i="1"/>
  <c r="C152" i="1"/>
  <c r="B135" i="1"/>
  <c r="B137"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B15"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B19"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4"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B31"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4"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5"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1"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2"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6"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9"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C</t>
        </r>
        <r>
          <rPr>
            <i/>
            <sz val="8"/>
            <color indexed="8"/>
            <rFont val="Tahoma"/>
            <family val="2"/>
          </rPr>
          <t>ommon values :</t>
        </r>
        <r>
          <rPr>
            <sz val="8"/>
            <color indexed="8"/>
            <rFont val="Tahoma"/>
            <family val="2"/>
          </rPr>
          <t xml:space="preserve">
MicroFusée               : 1m             </t>
        </r>
        <r>
          <rPr>
            <i/>
            <sz val="8"/>
            <color indexed="8"/>
            <rFont val="Tahoma"/>
            <family val="2"/>
          </rPr>
          <t>Micro-rocket</t>
        </r>
        <r>
          <rPr>
            <sz val="8"/>
            <color indexed="8"/>
            <rFont val="Tahoma"/>
            <family val="2"/>
          </rPr>
          <t xml:space="preserve">
MiniFusée                 : 2m -&gt; 3m </t>
        </r>
        <r>
          <rPr>
            <i/>
            <sz val="8"/>
            <color indexed="8"/>
            <rFont val="Tahoma"/>
            <family val="2"/>
          </rPr>
          <t xml:space="preserve">  Mini-rocket</t>
        </r>
        <r>
          <rPr>
            <sz val="8"/>
            <color indexed="8"/>
            <rFont val="Tahoma"/>
            <family val="2"/>
          </rPr>
          <t xml:space="preserve">
Fusée Expérimentale  : 4m -&gt; 7m   </t>
        </r>
        <r>
          <rPr>
            <i/>
            <sz val="8"/>
            <color indexed="8"/>
            <rFont val="Tahoma"/>
            <family val="2"/>
          </rPr>
          <t>Experimental Rocket</t>
        </r>
      </text>
    </comment>
    <comment ref="B20"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1"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4"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4"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5"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8"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M29"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B32"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5"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2"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2"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2"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1"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2"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3"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6"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7"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5"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<sst xmlns="http://schemas.openxmlformats.org/spreadsheetml/2006/main" count="1735" uniqueCount="576">
  <si>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</si>
  <si>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</si>
  <si>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</si>
  <si>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</si>
  <si>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</si>
  <si>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</si>
  <si>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</si>
  <si>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</si>
  <si>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</si>
  <si>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</si>
  <si>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</si>
  <si>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</si>
  <si>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</si>
  <si>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</si>
  <si>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</si>
  <si>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</si>
  <si>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</si>
  <si>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</si>
  <si>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</si>
  <si>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</si>
  <si>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</si>
  <si>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</si>
  <si>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</si>
  <si>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</si>
  <si>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</si>
  <si>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</si>
  <si>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</si>
  <si>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</si>
  <si>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</si>
  <si>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</si>
  <si>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</si>
  <si>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</si>
  <si>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</si>
  <si>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</si>
  <si>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</si>
  <si>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</si>
  <si>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</si>
  <si>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</si>
  <si>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</si>
  <si>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</si>
  <si>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</si>
  <si>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</si>
  <si>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</si>
  <si>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</si>
  <si>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</si>
  <si>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</si>
  <si>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</si>
  <si>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</si>
  <si>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</si>
  <si>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</si>
  <si>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</si>
  <si>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</si>
  <si>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</si>
  <si>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</si>
  <si>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</si>
  <si>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</si>
  <si>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</si>
  <si>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</si>
  <si>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</si>
  <si>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</si>
  <si>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</si>
  <si>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</si>
  <si>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</si>
  <si>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</si>
  <si>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</si>
  <si>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</si>
  <si>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</si>
  <si>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</si>
  <si>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</si>
  <si>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</si>
  <si>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</si>
  <si>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</si>
  <si>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</si>
  <si>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</si>
  <si>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</si>
  <si>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</si>
  <si>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</si>
  <si>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</si>
  <si>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</si>
  <si>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</si>
  <si>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</si>
  <si>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</si>
  <si>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</si>
  <si>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</si>
  <si>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</si>
  <si>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</si>
  <si>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</si>
  <si>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</si>
  <si>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</si>
  <si>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</si>
  <si>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</si>
  <si>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</si>
  <si>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</si>
  <si>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</si>
  <si>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</si>
  <si>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</si>
  <si>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</si>
  <si>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</si>
  <si>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</si>
  <si>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</si>
  <si>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</si>
  <si>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</si>
  <si>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</si>
  <si>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</si>
  <si>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</si>
  <si>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</si>
  <si>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</si>
  <si>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</si>
  <si>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</si>
  <si>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</si>
  <si>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</si>
  <si>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</si>
  <si>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</si>
  <si>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</si>
  <si>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</si>
  <si>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</si>
  <si>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</si>
  <si>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</si>
  <si>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</si>
  <si>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</si>
  <si>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</si>
  <si>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</si>
  <si>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</si>
  <si>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</si>
  <si>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</si>
  <si>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</si>
  <si>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</si>
  <si>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</si>
  <si>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</si>
  <si>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</si>
  <si>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</si>
  <si>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</si>
  <si>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</si>
  <si>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</si>
  <si>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</si>
  <si>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</si>
  <si>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</si>
  <si>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</si>
  <si>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</si>
  <si>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</si>
  <si>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</si>
  <si>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</si>
  <si>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</si>
  <si>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</si>
  <si>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</si>
  <si>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</si>
  <si>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</si>
  <si>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</si>
  <si>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</si>
  <si>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</si>
  <si>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</si>
  <si>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</si>
  <si>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</si>
  <si>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</si>
  <si>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</si>
  <si>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</si>
  <si>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</si>
  <si>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</si>
  <si>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</si>
  <si>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</si>
  <si>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</si>
  <si>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</si>
  <si>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</si>
  <si>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</si>
  <si>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</si>
  <si>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</si>
  <si>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</si>
  <si>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</si>
  <si>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</si>
  <si>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</si>
  <si>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</si>
  <si>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</si>
  <si>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</si>
  <si>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</si>
  <si>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</si>
  <si>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</si>
  <si>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</si>
  <si>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</si>
  <si>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</si>
  <si>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</si>
  <si>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</si>
  <si>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</si>
  <si>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</si>
  <si>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</si>
  <si>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</si>
  <si>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</si>
  <si>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</si>
  <si>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</si>
  <si>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</si>
  <si>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</si>
  <si>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</si>
  <si>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</si>
  <si>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</si>
  <si>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</si>
  <si>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</si>
  <si>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</si>
  <si>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</si>
  <si>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</si>
  <si>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</si>
  <si>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</si>
  <si>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</si>
  <si>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</si>
  <si>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</si>
  <si>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</si>
  <si>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</si>
  <si>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</si>
  <si>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</si>
  <si>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</si>
  <si>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</si>
  <si>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</si>
  <si>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</si>
  <si>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</si>
  <si>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</si>
  <si>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</si>
  <si>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</si>
  <si>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</si>
  <si>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</si>
  <si>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</si>
  <si>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</si>
  <si>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</si>
  <si>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</si>
  <si>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</si>
  <si>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</si>
  <si>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</si>
  <si>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</si>
  <si>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</si>
  <si>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</si>
  <si>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</si>
  <si>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</si>
  <si>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</si>
  <si>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</si>
  <si>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</si>
  <si>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</si>
  <si>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</si>
  <si>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</si>
  <si>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</si>
  <si>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</si>
  <si>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</si>
  <si>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</si>
  <si>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</si>
  <si>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</si>
  <si>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</si>
  <si>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</si>
  <si>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</si>
  <si>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</si>
  <si>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</si>
  <si>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</si>
  <si>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</si>
  <si>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</si>
  <si>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</si>
  <si>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</si>
  <si>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</si>
  <si>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</si>
  <si>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</si>
  <si>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</si>
  <si>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</si>
  <si>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</si>
  <si>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</si>
  <si>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</si>
  <si>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</si>
  <si>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</si>
  <si>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</si>
  <si>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</si>
  <si>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</si>
  <si>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</si>
  <si>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</si>
  <si>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</si>
  <si>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</si>
  <si>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</si>
  <si>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</si>
  <si>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</si>
  <si>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</si>
  <si>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</si>
  <si>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</si>
  <si>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</si>
  <si>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</si>
  <si>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</si>
  <si>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</si>
  <si>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</si>
  <si>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</si>
  <si>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</si>
  <si>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</si>
  <si>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</si>
  <si>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</si>
  <si>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</si>
  <si>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</si>
  <si>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</si>
  <si>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</si>
  <si>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</si>
  <si>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</si>
  <si>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</si>
  <si>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</si>
  <si>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</si>
  <si>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</si>
  <si>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</si>
  <si>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</si>
  <si>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</si>
  <si>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</si>
  <si>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</si>
  <si>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</si>
  <si>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</si>
  <si>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</si>
  <si>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</si>
  <si>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</si>
  <si>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</si>
  <si>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</si>
  <si>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</si>
  <si>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</si>
  <si>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</si>
  <si>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</si>
  <si>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</si>
  <si>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</si>
  <si>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</si>
  <si>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</si>
  <si>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</si>
  <si>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</si>
  <si>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</si>
  <si>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</si>
  <si>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</si>
  <si>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</si>
  <si>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</si>
  <si>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</si>
  <si>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</si>
  <si>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</si>
  <si>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</si>
  <si>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</si>
  <si>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</si>
  <si>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</si>
  <si>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</si>
  <si>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</si>
  <si>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</si>
  <si>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</si>
  <si>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</si>
  <si>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</si>
  <si>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</si>
  <si>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</si>
  <si>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</si>
  <si>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</si>
  <si>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</si>
  <si>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</si>
  <si>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</si>
  <si>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</si>
  <si>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</si>
  <si>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</si>
  <si>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</si>
  <si>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</si>
  <si>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</si>
  <si>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</si>
  <si>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</si>
  <si>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</si>
  <si>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</si>
  <si>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</si>
  <si>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</si>
  <si>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</si>
  <si>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</si>
  <si>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</si>
  <si>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</si>
  <si>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</si>
  <si>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</si>
  <si>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</si>
  <si>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</si>
  <si>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</si>
  <si>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</si>
  <si>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</si>
  <si>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</si>
  <si>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</si>
  <si>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</si>
  <si>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</si>
  <si>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</si>
  <si>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</si>
  <si>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</si>
  <si>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</si>
  <si>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</si>
  <si>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</si>
  <si>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</si>
  <si>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</si>
  <si>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</si>
  <si>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</si>
  <si>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</si>
  <si>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</si>
  <si>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</si>
  <si>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</si>
  <si>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</si>
  <si>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</si>
  <si>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</si>
  <si>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</si>
  <si>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</si>
  <si>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</si>
  <si>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</si>
  <si>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</si>
  <si>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</si>
  <si>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</si>
  <si>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</si>
  <si>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</si>
  <si>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</si>
  <si>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</si>
  <si>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</si>
  <si>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</si>
  <si>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</si>
  <si>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</si>
  <si>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</si>
  <si>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</si>
  <si>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</si>
  <si>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</si>
  <si>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</si>
  <si>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</si>
  <si>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</si>
  <si>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</si>
  <si>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</si>
  <si>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</si>
  <si>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</si>
  <si>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</si>
  <si>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</si>
  <si>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</si>
  <si>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</si>
  <si>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</si>
  <si>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</si>
  <si>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</si>
  <si>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</si>
  <si>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</si>
  <si>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</si>
  <si>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</si>
  <si>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</si>
  <si>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sans propu</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</si>
  <si>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</si>
  <si>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</si>
  <si>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</si>
  <si>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</si>
  <si>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</si>
  <si>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</si>
  <si>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</si>
  <si>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</si>
  <si>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</si>
  <si>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</si>
  <si>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</si>
  <si>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</si>
  <si>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</si>
  <si>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</si>
  <si>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</si>
  <si>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</si>
  <si>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</si>
  <si>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</si>
  <si>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</si>
  <si>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</si>
  <si>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</si>
  <si>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</si>
  <si>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</si>
  <si>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</si>
  <si>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</si>
  <si>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</si>
  <si>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</si>
  <si>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</si>
  <si>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</si>
  <si>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</si>
  <si>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</si>
  <si>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</si>
  <si>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</si>
  <si>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</si>
  <si>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</si>
  <si>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</si>
  <si>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</si>
  <si>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</si>
  <si>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</si>
  <si>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</si>
  <si>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</si>
  <si>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</si>
  <si>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</si>
  <si>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</si>
  <si>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</si>
  <si>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</si>
  <si>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</si>
  <si>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</si>
  <si>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</si>
  <si>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</si>
  <si>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</si>
  <si>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</si>
  <si>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</si>
  <si>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</si>
  <si>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</si>
  <si>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</si>
  <si>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</si>
  <si>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</si>
  <si>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</si>
  <si>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</si>
  <si>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</si>
  <si>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</si>
  <si>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</si>
  <si>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</si>
  <si>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</si>
  <si>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</si>
  <si>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</si>
  <si>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</si>
  <si>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</si>
  <si>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</si>
  <si>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</si>
  <si>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</si>
  <si>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</si>
  <si>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</si>
  <si>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</si>
  <si>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</si>
  <si>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</si>
  <si>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</si>
  <si>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</si>
  <si>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</si>
  <si>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</si>
  <si>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</si>
  <si>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</si>
  <si>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</si>
  <si>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</si>
  <si>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</si>
  <si>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</si>
  <si>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</si>
  <si>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</si>
  <si>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</si>
  <si>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</si>
  <si>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</si>
  <si>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</si>
  <si>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</si>
  <si>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</si>
  <si>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</si>
  <si>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</si>
  <si>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</si>
  <si>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</si>
  <si>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</si>
  <si>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</si>
  <si>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</si>
  <si>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</si>
  <si>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</si>
  <si>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</si>
  <si>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</si>
  <si>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</si>
  <si>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</si>
  <si>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</si>
  <si>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</si>
  <si>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</si>
  <si>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</si>
  <si>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</si>
  <si>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</si>
  <si>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</si>
  <si>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</si>
  <si>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</si>
  <si>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</si>
  <si>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</si>
  <si>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</si>
  <si>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p29-1G 56F31</t>
  </si>
  <si>
    <t xml:space="preserve"> 143G150 BS</t>
  </si>
  <si>
    <t>StabTraj V3.4.2</t>
  </si>
  <si>
    <t>Ajout propu</t>
  </si>
  <si>
    <t>Pandora (Pro24-6G BS)</t>
  </si>
  <si>
    <t>Barasinga (Pro54-5G C)</t>
  </si>
  <si>
    <t>Orignal (Pro75-3G C)</t>
  </si>
  <si>
    <t>Blastocerus (Pro98-6GXL RL)</t>
  </si>
  <si>
    <t>Pro54-5G WT</t>
  </si>
  <si>
    <t>Flavien DENIS</t>
  </si>
  <si>
    <t>Ajout Pro54-5G WT et Pro98-6G Green</t>
  </si>
  <si>
    <t>StabTraj V3.4.3</t>
  </si>
  <si>
    <t>Pro98-6G Green</t>
  </si>
  <si>
    <t>StabTraj V3.4.4</t>
  </si>
  <si>
    <t>Type de para</t>
  </si>
  <si>
    <t>Rond</t>
  </si>
  <si>
    <t>Croix</t>
  </si>
  <si>
    <t>Autre</t>
  </si>
  <si>
    <t>Unification Type Minif et RC + liste déroulante pour le type de parachute.</t>
  </si>
  <si>
    <t>Matricule</t>
  </si>
  <si>
    <t>Matriucle</t>
  </si>
  <si>
    <t>Corrections mineurs</t>
  </si>
  <si>
    <t>StabTraj V3.4.5</t>
  </si>
  <si>
    <t>v3.4.5</t>
  </si>
  <si>
    <t>Fusée expérimentale.</t>
  </si>
  <si>
    <t>L'AéroIPSA</t>
  </si>
  <si>
    <t>Conique (droite)</t>
  </si>
  <si>
    <t>Plusieurs diamètres.</t>
  </si>
  <si>
    <t>SP02</t>
  </si>
  <si>
    <t>OpenRocket</t>
  </si>
  <si>
    <t>MS</t>
  </si>
  <si>
    <t>Cnalpha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</si>
</sst>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2"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
      <b/>
      <sz val="10"/>
      <color theme="1"/>
      <name val="Arial"/>
      <family val="2"/>
    </font>
  </fonts>
  <fills count="35">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
      <patternFill patternType="solid">
        <fgColor theme="0" tint="-0.499984740745262"/>
        <bgColor indexed="64"/>
      </patternFill>
    </fill>
  </fills>
  <borders count="104">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
      <left style="thin">
        <color indexed="8"/>
      </left>
      <right style="thin">
        <color indexed="8"/>
      </right>
      <top/>
      <bottom/>
      <diagonal/>
    </border>
  </borders>
  <cellStyleXfs count="3">
    <xf numFmtId="0" fontId="0" fillId="0" borderId="0"/>
    <xf numFmtId="0" fontId="10" fillId="0" borderId="0" applyNumberFormat="0" applyFill="0" applyBorder="0" applyAlignment="0" applyProtection="0"/>
    <xf numFmtId="0" fontId="1" fillId="0" borderId="0"/>
  </cellStyleXfs>
  <cellXfs count="683">
    <xf numFmtId="0" fontId="0" fillId="0" borderId="0" xfId="0"/>
    <xf numFmtId="0" fontId="0" fillId="0" borderId="0" xfId="0" applyAlignment="1">
      <alignment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xf>
    <xf numFmtId="2" fontId="0" fillId="0" borderId="0" xfId="0" applyNumberFormat="1" applyAlignment="1">
      <alignment horizontal="center"/>
    </xf>
    <xf numFmtId="2" fontId="7" fillId="0" borderId="0" xfId="0" applyNumberFormat="1" applyFont="1" applyAlignment="1">
      <alignment horizontal="center"/>
    </xf>
    <xf numFmtId="2" fontId="0" fillId="2" borderId="0" xfId="0" applyNumberFormat="1" applyFill="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center"/>
    </xf>
    <xf numFmtId="0" fontId="6" fillId="0" borderId="0" xfId="0" applyFont="1"/>
    <xf numFmtId="0" fontId="9" fillId="0" borderId="0" xfId="0" applyFont="1"/>
    <xf numFmtId="0" fontId="10" fillId="0" borderId="0" xfId="1" applyNumberFormat="1" applyFill="1" applyBorder="1" applyAlignment="1" applyProtection="1"/>
    <xf numFmtId="14" fontId="0" fillId="0" borderId="0" xfId="0" applyNumberFormat="1" applyAlignment="1">
      <alignment horizontal="left"/>
    </xf>
    <xf numFmtId="171" fontId="2" fillId="3" borderId="2" xfId="0" applyNumberFormat="1" applyFont="1" applyFill="1" applyBorder="1" applyAlignment="1" applyProtection="1">
      <alignment horizontal="center" vertical="center"/>
      <protection locked="0"/>
    </xf>
    <xf numFmtId="0" fontId="16" fillId="0" borderId="0" xfId="0" applyFont="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xf numFmtId="0" fontId="2" fillId="0" borderId="6" xfId="2" applyFont="1" applyBorder="1"/>
    <xf numFmtId="0" fontId="15" fillId="0" borderId="0" xfId="2" applyFont="1" applyProtection="1">
      <protection hidden="1"/>
    </xf>
    <xf numFmtId="0" fontId="1" fillId="0" borderId="7" xfId="2" applyBorder="1"/>
    <xf numFmtId="0" fontId="4" fillId="0" borderId="0" xfId="2" applyFont="1"/>
    <xf numFmtId="0" fontId="2" fillId="0" borderId="7" xfId="2" applyFont="1" applyBorder="1"/>
    <xf numFmtId="0" fontId="2" fillId="0" borderId="0" xfId="2" applyFont="1" applyAlignment="1" applyProtection="1">
      <alignment horizontal="center"/>
      <protection hidden="1"/>
    </xf>
    <xf numFmtId="0" fontId="2" fillId="0" borderId="0" xfId="2" applyFont="1" applyAlignment="1">
      <alignment horizontal="center"/>
    </xf>
    <xf numFmtId="0" fontId="16" fillId="0" borderId="0" xfId="2" applyFont="1"/>
    <xf numFmtId="0" fontId="2" fillId="0" borderId="0" xfId="2" applyFont="1" applyProtection="1">
      <protection hidden="1"/>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Protection="1">
      <protection hidden="1"/>
    </xf>
    <xf numFmtId="0" fontId="15" fillId="0" borderId="0" xfId="2" applyFont="1"/>
    <xf numFmtId="14" fontId="15" fillId="0" borderId="0" xfId="2" applyNumberFormat="1" applyFont="1" applyAlignment="1" applyProtection="1">
      <alignment horizontal="center"/>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Protection="1">
      <protection locked="0"/>
    </xf>
    <xf numFmtId="0" fontId="2" fillId="0" borderId="0" xfId="2" applyFont="1" applyProtection="1">
      <protection locked="0"/>
    </xf>
    <xf numFmtId="0" fontId="2" fillId="0" borderId="0" xfId="2" applyFont="1" applyAlignment="1" applyProtection="1">
      <alignment horizontal="center"/>
      <protection locked="0"/>
    </xf>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xf numFmtId="0" fontId="26" fillId="0" borderId="0" xfId="0" applyFont="1"/>
    <xf numFmtId="14" fontId="0" fillId="0" borderId="0" xfId="0" applyNumberFormat="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Alignment="1" applyProtection="1">
      <alignment vertical="center"/>
      <protection hidden="1"/>
    </xf>
    <xf numFmtId="169" fontId="0" fillId="0" borderId="0" xfId="0" applyNumberFormat="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Alignment="1">
      <alignment horizontal="center"/>
    </xf>
    <xf numFmtId="0" fontId="0" fillId="0" borderId="9" xfId="0" applyBorder="1"/>
    <xf numFmtId="0" fontId="0" fillId="0" borderId="10" xfId="0" applyBorder="1"/>
    <xf numFmtId="0" fontId="0" fillId="0" borderId="13" xfId="0" applyBorder="1"/>
    <xf numFmtId="1" fontId="0" fillId="0" borderId="0" xfId="0" applyNumberFormat="1" applyAlignment="1">
      <alignment horizontal="center"/>
    </xf>
    <xf numFmtId="165" fontId="0" fillId="0" borderId="0" xfId="0" applyNumberFormat="1" applyAlignment="1">
      <alignment horizontal="center" vertical="center"/>
    </xf>
    <xf numFmtId="1" fontId="0" fillId="0" borderId="0" xfId="0" applyNumberFormat="1" applyAlignment="1">
      <alignment horizontal="center" vertical="center"/>
    </xf>
    <xf numFmtId="182" fontId="2" fillId="0" borderId="12" xfId="0" applyNumberFormat="1" applyFont="1" applyBorder="1" applyAlignment="1">
      <alignment horizontal="center"/>
    </xf>
    <xf numFmtId="1" fontId="2" fillId="0" borderId="12" xfId="0" applyNumberFormat="1" applyFont="1" applyBorder="1" applyAlignment="1">
      <alignment horizontal="center"/>
    </xf>
    <xf numFmtId="165" fontId="2" fillId="0" borderId="12" xfId="0" applyNumberFormat="1" applyFont="1" applyBorder="1" applyAlignment="1">
      <alignment horizontal="center" vertical="center"/>
    </xf>
    <xf numFmtId="165" fontId="2" fillId="0" borderId="12" xfId="0" applyNumberFormat="1" applyFont="1" applyBorder="1" applyAlignment="1">
      <alignment horizontal="center"/>
    </xf>
    <xf numFmtId="0" fontId="0" fillId="0" borderId="0" xfId="2" applyFont="1" applyAlignment="1" applyProtection="1">
      <alignment horizontal="center"/>
      <protection hidden="1"/>
    </xf>
    <xf numFmtId="0" fontId="8" fillId="0" borderId="4" xfId="2" applyFont="1" applyBorder="1"/>
    <xf numFmtId="0" fontId="8" fillId="0" borderId="0" xfId="2" applyFont="1"/>
    <xf numFmtId="0" fontId="8" fillId="0" borderId="0" xfId="2" applyFont="1" applyProtection="1">
      <protection hidden="1"/>
    </xf>
    <xf numFmtId="0" fontId="8" fillId="0" borderId="10" xfId="2" applyFont="1" applyBorder="1" applyProtection="1">
      <protection locked="0"/>
    </xf>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31" fillId="0" borderId="0" xfId="2" applyFont="1"/>
    <xf numFmtId="0" fontId="0" fillId="0" borderId="0" xfId="0"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Protection="1">
      <protection hidden="1"/>
    </xf>
    <xf numFmtId="2" fontId="0" fillId="7" borderId="15" xfId="0" applyNumberForma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 fontId="2" fillId="7" borderId="16" xfId="0" applyNumberFormat="1" applyFon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ill="1" applyBorder="1" applyAlignment="1">
      <alignment horizontal="center" vertical="center"/>
    </xf>
    <xf numFmtId="0" fontId="0" fillId="7" borderId="17" xfId="0"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lignment horizontal="center" vertical="center"/>
    </xf>
    <xf numFmtId="0" fontId="0" fillId="13" borderId="15" xfId="0"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0" fillId="0" borderId="10" xfId="0"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1" xfId="2" applyFont="1" applyBorder="1" applyAlignment="1" applyProtection="1">
      <alignment horizontal="center"/>
      <protection hidden="1"/>
    </xf>
    <xf numFmtId="165" fontId="0" fillId="0" borderId="19" xfId="0" applyNumberFormat="1" applyBorder="1" applyAlignment="1">
      <alignment horizontal="center" vertical="center"/>
    </xf>
    <xf numFmtId="1" fontId="0" fillId="0" borderId="20" xfId="0" applyNumberFormat="1" applyBorder="1" applyAlignment="1">
      <alignment horizontal="center" vertical="center"/>
    </xf>
    <xf numFmtId="165" fontId="0" fillId="0" borderId="21" xfId="0" applyNumberFormat="1" applyBorder="1" applyAlignment="1">
      <alignment horizontal="center" vertical="center"/>
    </xf>
    <xf numFmtId="1" fontId="0" fillId="0" borderId="23" xfId="0" applyNumberFormat="1" applyBorder="1" applyAlignment="1">
      <alignment horizontal="center" vertical="center"/>
    </xf>
    <xf numFmtId="1" fontId="0" fillId="0" borderId="19" xfId="0" applyNumberFormat="1" applyBorder="1" applyAlignment="1">
      <alignment horizontal="center" vertical="center"/>
    </xf>
    <xf numFmtId="1" fontId="0" fillId="0" borderId="21" xfId="0" applyNumberFormat="1" applyBorder="1" applyAlignment="1">
      <alignment horizontal="center" vertical="center"/>
    </xf>
    <xf numFmtId="0" fontId="0" fillId="0" borderId="23" xfId="0"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Border="1" applyAlignment="1">
      <alignment horizontal="center" vertical="center"/>
    </xf>
    <xf numFmtId="0" fontId="0" fillId="0" borderId="19" xfId="0"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1" fontId="2" fillId="0" borderId="0" xfId="0" applyNumberFormat="1" applyFont="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Alignment="1">
      <alignment horizontal="left"/>
    </xf>
    <xf numFmtId="0" fontId="2" fillId="4" borderId="0" xfId="0" applyFont="1" applyFill="1" applyAlignment="1" applyProtection="1">
      <alignment horizontal="center" vertical="center"/>
      <protection locked="0"/>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lignment horizontal="right" vertical="center"/>
    </xf>
    <xf numFmtId="0" fontId="30" fillId="0" borderId="13" xfId="2" applyFont="1" applyBorder="1" applyAlignment="1">
      <alignment horizontal="right"/>
    </xf>
    <xf numFmtId="2" fontId="0" fillId="16" borderId="31" xfId="0" applyNumberFormat="1" applyFill="1" applyBorder="1" applyAlignment="1">
      <alignment horizontal="center"/>
    </xf>
    <xf numFmtId="2" fontId="0" fillId="16" borderId="33" xfId="0" applyNumberFormat="1" applyFill="1" applyBorder="1" applyAlignment="1">
      <alignment horizontal="center"/>
    </xf>
    <xf numFmtId="2" fontId="0" fillId="16" borderId="32" xfId="0" applyNumberFormat="1" applyFill="1" applyBorder="1" applyAlignment="1">
      <alignment horizontal="center"/>
    </xf>
    <xf numFmtId="0" fontId="0" fillId="16" borderId="31" xfId="0" applyFill="1" applyBorder="1" applyAlignment="1">
      <alignment horizontal="center"/>
    </xf>
    <xf numFmtId="0" fontId="0" fillId="16" borderId="33" xfId="0" applyFill="1" applyBorder="1" applyAlignment="1">
      <alignment horizontal="center"/>
    </xf>
    <xf numFmtId="0" fontId="0" fillId="16" borderId="32" xfId="0" applyFill="1" applyBorder="1" applyAlignment="1">
      <alignment horizontal="center"/>
    </xf>
    <xf numFmtId="2" fontId="0" fillId="0" borderId="0" xfId="0" applyNumberForma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Fill="1" applyBorder="1"/>
    <xf numFmtId="0" fontId="0" fillId="21" borderId="0" xfId="0" applyFill="1"/>
    <xf numFmtId="0" fontId="0" fillId="21" borderId="20" xfId="0" applyFill="1" applyBorder="1" applyAlignment="1">
      <alignment horizontal="center"/>
    </xf>
    <xf numFmtId="0" fontId="0" fillId="21" borderId="21" xfId="0" applyFill="1" applyBorder="1"/>
    <xf numFmtId="0" fontId="0" fillId="21" borderId="22" xfId="0" applyFill="1" applyBorder="1"/>
    <xf numFmtId="0" fontId="0" fillId="21" borderId="23" xfId="0"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ill="1" applyBorder="1" applyAlignment="1">
      <alignment horizontal="center"/>
    </xf>
    <xf numFmtId="0" fontId="0" fillId="22" borderId="41" xfId="0"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ill="1" applyBorder="1" applyAlignment="1">
      <alignment horizontal="center"/>
    </xf>
    <xf numFmtId="2" fontId="0" fillId="23" borderId="21" xfId="0" applyNumberForma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ill="1" applyBorder="1" applyAlignment="1">
      <alignment horizontal="center"/>
    </xf>
    <xf numFmtId="0" fontId="0" fillId="26" borderId="53" xfId="0"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Alignment="1">
      <alignment horizontal="center"/>
    </xf>
    <xf numFmtId="169" fontId="0" fillId="3" borderId="56" xfId="0" applyNumberFormat="1" applyFill="1" applyBorder="1" applyAlignment="1">
      <alignment horizontal="center"/>
    </xf>
    <xf numFmtId="0" fontId="0" fillId="26" borderId="1" xfId="0" applyFill="1" applyBorder="1" applyAlignment="1">
      <alignment horizontal="center"/>
    </xf>
    <xf numFmtId="0" fontId="0" fillId="26" borderId="51" xfId="0" applyFill="1" applyBorder="1" applyAlignment="1">
      <alignment horizontal="center"/>
    </xf>
    <xf numFmtId="183" fontId="0" fillId="26" borderId="51" xfId="0" applyNumberForma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183" fontId="0" fillId="25" borderId="60" xfId="0" applyNumberFormat="1" applyFill="1" applyBorder="1" applyAlignment="1">
      <alignment horizontal="center"/>
    </xf>
    <xf numFmtId="0" fontId="45" fillId="0" borderId="0" xfId="0" applyFont="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lignment horizontal="right"/>
    </xf>
    <xf numFmtId="0" fontId="46" fillId="0" borderId="10" xfId="2" applyFont="1" applyBorder="1"/>
    <xf numFmtId="0" fontId="49" fillId="0" borderId="10" xfId="2" applyFont="1" applyBorder="1" applyAlignment="1">
      <alignment horizontal="left"/>
    </xf>
    <xf numFmtId="0" fontId="48" fillId="0" borderId="10" xfId="2" applyFont="1" applyBorder="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ill="1" applyBorder="1" applyAlignment="1">
      <alignment horizontal="center"/>
    </xf>
    <xf numFmtId="0" fontId="0" fillId="29" borderId="26" xfId="0" applyFill="1" applyBorder="1" applyAlignment="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Font="1" applyFill="1" applyBorder="1" applyAlignment="1">
      <alignment horizontal="center"/>
    </xf>
    <xf numFmtId="0" fontId="33" fillId="5" borderId="20" xfId="2" applyFont="1" applyFill="1" applyBorder="1" applyAlignment="1">
      <alignment horizontal="center"/>
    </xf>
    <xf numFmtId="0" fontId="33" fillId="5" borderId="23" xfId="2"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ill="1" applyBorder="1" applyAlignment="1" applyProtection="1">
      <alignment horizontal="center" vertical="center"/>
      <protection hidden="1"/>
    </xf>
    <xf numFmtId="0" fontId="0" fillId="0" borderId="22" xfId="0"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45" fillId="0" borderId="0" xfId="2" applyFont="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Alignment="1">
      <alignment horizontal="right"/>
    </xf>
    <xf numFmtId="0" fontId="42" fillId="0" borderId="0" xfId="0" applyFont="1" applyAlignment="1">
      <alignment horizontal="center"/>
    </xf>
    <xf numFmtId="0" fontId="15" fillId="0" borderId="0" xfId="0" applyFont="1" applyAlignment="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15" fillId="0" borderId="2" xfId="0" applyFont="1" applyBorder="1" applyAlignment="1">
      <alignment horizontal="center"/>
    </xf>
    <xf numFmtId="0" fontId="15" fillId="0" borderId="64" xfId="0" applyFont="1" applyBorder="1" applyAlignment="1">
      <alignment horizontal="center"/>
    </xf>
    <xf numFmtId="201" fontId="15" fillId="0" borderId="0" xfId="0" applyNumberFormat="1" applyFont="1"/>
    <xf numFmtId="191" fontId="0" fillId="0" borderId="0" xfId="0" applyNumberFormat="1"/>
    <xf numFmtId="192" fontId="0" fillId="0" borderId="0" xfId="0" applyNumberFormat="1"/>
    <xf numFmtId="0" fontId="43" fillId="0" borderId="0" xfId="0" applyFont="1"/>
    <xf numFmtId="192" fontId="2" fillId="30" borderId="32" xfId="0" applyNumberFormat="1" applyFont="1" applyFill="1" applyBorder="1" applyProtection="1">
      <protection locked="0"/>
    </xf>
    <xf numFmtId="198" fontId="2" fillId="0" borderId="23" xfId="0" applyNumberFormat="1" applyFont="1" applyBorder="1"/>
    <xf numFmtId="0" fontId="42" fillId="0" borderId="0" xfId="0" applyFont="1"/>
    <xf numFmtId="3" fontId="2" fillId="30" borderId="32" xfId="0" applyNumberFormat="1" applyFont="1" applyFill="1" applyBorder="1" applyAlignment="1">
      <alignment horizontal="center"/>
    </xf>
    <xf numFmtId="191" fontId="2" fillId="0" borderId="33" xfId="0" applyNumberFormat="1" applyFont="1" applyBorder="1" applyAlignment="1">
      <alignment horizontal="center"/>
    </xf>
    <xf numFmtId="192" fontId="2" fillId="0" borderId="32" xfId="0" applyNumberFormat="1" applyFont="1" applyBorder="1" applyAlignment="1">
      <alignment horizontal="center"/>
    </xf>
    <xf numFmtId="191" fontId="2" fillId="0" borderId="22" xfId="0" applyNumberFormat="1" applyFont="1" applyBorder="1" applyAlignment="1">
      <alignment horizontal="center"/>
    </xf>
    <xf numFmtId="192" fontId="2" fillId="0" borderId="23" xfId="0" applyNumberFormat="1" applyFont="1" applyBorder="1" applyAlignment="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Border="1" applyAlignment="1">
      <alignment horizontal="center"/>
    </xf>
    <xf numFmtId="201" fontId="2" fillId="0" borderId="23" xfId="0" applyNumberFormat="1" applyFont="1" applyBorder="1" applyAlignment="1">
      <alignment horizontal="center"/>
    </xf>
    <xf numFmtId="199" fontId="2" fillId="0" borderId="33" xfId="0" applyNumberFormat="1" applyFont="1" applyBorder="1" applyAlignment="1">
      <alignment horizontal="center"/>
    </xf>
    <xf numFmtId="200" fontId="2" fillId="0" borderId="32" xfId="0" applyNumberFormat="1" applyFont="1" applyBorder="1" applyAlignment="1">
      <alignment horizontal="center"/>
    </xf>
    <xf numFmtId="191" fontId="2" fillId="0" borderId="0" xfId="0" applyNumberFormat="1" applyFont="1" applyAlignment="1">
      <alignment horizontal="center"/>
    </xf>
    <xf numFmtId="192" fontId="2" fillId="0" borderId="20" xfId="0" applyNumberFormat="1" applyFont="1" applyBorder="1" applyAlignment="1">
      <alignment horizontal="center"/>
    </xf>
    <xf numFmtId="0" fontId="15" fillId="0" borderId="10" xfId="0" applyFont="1" applyBorder="1"/>
    <xf numFmtId="0" fontId="0" fillId="29" borderId="20" xfId="0" applyFill="1" applyBorder="1" applyAlignment="1">
      <alignment horizontal="center"/>
    </xf>
    <xf numFmtId="0" fontId="0" fillId="31" borderId="65" xfId="0"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0" fontId="2" fillId="28" borderId="2" xfId="0" applyFont="1" applyFill="1" applyBorder="1" applyAlignment="1">
      <alignment horizontal="center" vertical="center"/>
    </xf>
    <xf numFmtId="0" fontId="0" fillId="30" borderId="0" xfId="0" applyFill="1"/>
    <xf numFmtId="0" fontId="0" fillId="30" borderId="0" xfId="0" applyFill="1" applyAlignment="1">
      <alignment horizontal="center"/>
    </xf>
    <xf numFmtId="0" fontId="0" fillId="0" borderId="0" xfId="0" applyAlignment="1" applyProtection="1">
      <alignment horizontal="center"/>
      <protection locked="0"/>
    </xf>
    <xf numFmtId="0" fontId="0" fillId="29" borderId="25" xfId="0" applyFill="1" applyBorder="1" applyAlignment="1">
      <alignment horizontal="center"/>
    </xf>
    <xf numFmtId="0" fontId="1" fillId="0" borderId="0" xfId="2" applyProtection="1">
      <protection locked="0"/>
    </xf>
    <xf numFmtId="0" fontId="1" fillId="0" borderId="0" xfId="2"/>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Alignment="1">
      <alignment vertical="center"/>
    </xf>
    <xf numFmtId="0" fontId="2" fillId="0" borderId="0" xfId="0" applyFont="1" applyAlignment="1" applyProtection="1">
      <alignment horizontal="center" vertical="center"/>
      <protection hidden="1"/>
    </xf>
    <xf numFmtId="186" fontId="2" fillId="0" borderId="0" xfId="0" applyNumberFormat="1" applyFont="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ill="1" applyBorder="1" applyAlignment="1">
      <alignment horizontal="center" vertical="center"/>
    </xf>
    <xf numFmtId="175" fontId="2" fillId="7" borderId="2" xfId="0" applyNumberFormat="1" applyFont="1" applyFill="1" applyBorder="1" applyAlignment="1">
      <alignment horizontal="center" vertical="center"/>
    </xf>
    <xf numFmtId="166" fontId="2" fillId="0" borderId="0" xfId="0" applyNumberFormat="1" applyFont="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ill="1" applyBorder="1" applyAlignment="1">
      <alignment horizontal="center" vertical="center"/>
    </xf>
    <xf numFmtId="186" fontId="0" fillId="7" borderId="43" xfId="0" applyNumberFormat="1" applyFill="1" applyBorder="1" applyAlignment="1">
      <alignment horizontal="center" vertical="center"/>
    </xf>
    <xf numFmtId="165" fontId="0" fillId="7" borderId="72" xfId="0" applyNumberForma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175" fontId="2" fillId="0" borderId="0" xfId="0" applyNumberFormat="1" applyFont="1" applyAlignment="1">
      <alignment horizontal="center" vertical="center"/>
    </xf>
    <xf numFmtId="0" fontId="2" fillId="0" borderId="22" xfId="0" applyFont="1" applyBorder="1" applyAlignment="1">
      <alignment horizontal="center" vertical="center"/>
    </xf>
    <xf numFmtId="182" fontId="2" fillId="0" borderId="0" xfId="0" applyNumberFormat="1" applyFont="1" applyAlignment="1">
      <alignment horizontal="center"/>
    </xf>
    <xf numFmtId="14" fontId="2" fillId="0" borderId="0" xfId="0" applyNumberFormat="1" applyFont="1" applyAlignment="1">
      <alignment horizontal="center"/>
    </xf>
    <xf numFmtId="0" fontId="0" fillId="0" borderId="64" xfId="0" applyBorder="1" applyAlignment="1">
      <alignment horizontal="center"/>
    </xf>
    <xf numFmtId="0" fontId="0" fillId="0" borderId="2" xfId="0" applyBorder="1" applyAlignment="1">
      <alignment horizontal="center"/>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vertical="center"/>
    </xf>
    <xf numFmtId="175" fontId="2" fillId="0" borderId="2" xfId="0" applyNumberFormat="1" applyFont="1" applyBorder="1" applyAlignment="1">
      <alignment horizontal="center" vertical="center"/>
    </xf>
    <xf numFmtId="175" fontId="2" fillId="0" borderId="2" xfId="0" applyNumberFormat="1" applyFont="1" applyBorder="1" applyAlignment="1">
      <alignment horizontal="right" vertical="center"/>
    </xf>
    <xf numFmtId="0" fontId="0" fillId="0" borderId="20" xfId="0" applyBorder="1" applyAlignment="1">
      <alignment horizontal="center"/>
    </xf>
    <xf numFmtId="0" fontId="0" fillId="0" borderId="0" xfId="0" applyAlignment="1">
      <alignment horizontal="left" vertical="top"/>
    </xf>
    <xf numFmtId="0" fontId="0" fillId="3" borderId="4" xfId="0" applyFill="1" applyBorder="1" applyAlignment="1">
      <alignment horizontal="center"/>
    </xf>
    <xf numFmtId="0" fontId="51" fillId="11" borderId="67" xfId="0" applyFont="1" applyFill="1" applyBorder="1" applyAlignment="1" applyProtection="1">
      <alignment horizontal="center" vertical="center"/>
      <protection hidden="1"/>
    </xf>
    <xf numFmtId="0" fontId="0" fillId="34" borderId="2" xfId="0" applyFill="1" applyBorder="1" applyAlignment="1">
      <alignment vertical="center"/>
    </xf>
    <xf numFmtId="1" fontId="30" fillId="14" borderId="0" xfId="2" applyNumberFormat="1" applyFont="1" applyFill="1" applyAlignment="1">
      <alignment horizontal="center"/>
    </xf>
    <xf numFmtId="0" fontId="35" fillId="4" borderId="34" xfId="2" applyFont="1" applyFill="1" applyBorder="1" applyAlignment="1" applyProtection="1">
      <alignment horizontal="right" vertical="center"/>
      <protection locked="0"/>
    </xf>
    <xf numFmtId="0" fontId="35" fillId="30" borderId="14" xfId="2" applyFont="1" applyFill="1" applyBorder="1" applyAlignment="1" applyProtection="1">
      <alignment horizontal="left" vertical="center"/>
      <protection locked="0"/>
    </xf>
    <xf numFmtId="0" fontId="49" fillId="0" borderId="0" xfId="2" applyFont="1" applyProtection="1">
      <protection hidden="1"/>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2"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 fillId="19" borderId="0" xfId="2" applyFont="1" applyFill="1" applyAlignment="1">
      <alignment horizontal="center"/>
    </xf>
    <xf numFmtId="0" fontId="2" fillId="0" borderId="0" xfId="2" applyFont="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45" fillId="0" borderId="83" xfId="2" applyFont="1" applyBorder="1" applyAlignment="1">
      <alignment horizontal="center"/>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17" fillId="5" borderId="31" xfId="2" applyFont="1" applyFill="1" applyBorder="1" applyAlignment="1">
      <alignment horizontal="center" vertical="center"/>
    </xf>
    <xf numFmtId="0" fontId="17" fillId="5" borderId="32" xfId="2" applyFont="1" applyFill="1" applyBorder="1" applyAlignment="1">
      <alignment horizontal="center" vertical="center"/>
    </xf>
    <xf numFmtId="0" fontId="17" fillId="5" borderId="21" xfId="2" applyFont="1" applyFill="1" applyBorder="1" applyAlignment="1">
      <alignment horizontal="center" vertical="center"/>
    </xf>
    <xf numFmtId="0" fontId="17" fillId="5" borderId="23" xfId="2"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0" fontId="15" fillId="0" borderId="0" xfId="2" applyFont="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103" xfId="0" applyNumberFormat="1" applyFont="1" applyFill="1" applyBorder="1" applyAlignment="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lignment horizontal="center"/>
    </xf>
    <xf numFmtId="0" fontId="2" fillId="13" borderId="91" xfId="0" applyFont="1" applyFill="1" applyBorder="1" applyAlignment="1">
      <alignment horizontal="center"/>
    </xf>
    <xf numFmtId="0" fontId="2" fillId="12" borderId="15" xfId="0" applyFont="1" applyFill="1" applyBorder="1" applyAlignment="1" applyProtection="1">
      <alignment horizontal="center"/>
      <protection hidden="1"/>
    </xf>
    <xf numFmtId="166" fontId="2" fillId="17" borderId="46" xfId="0" applyNumberFormat="1" applyFont="1" applyFill="1" applyBorder="1" applyAlignment="1">
      <alignment horizontal="center" vertical="center"/>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35" fillId="13" borderId="2" xfId="0" applyFont="1" applyFill="1" applyBorder="1" applyAlignment="1">
      <alignment horizontal="center"/>
    </xf>
    <xf numFmtId="0" fontId="45" fillId="0" borderId="0" xfId="0" applyFont="1" applyAlignment="1">
      <alignment horizontal="center" vertical="center"/>
    </xf>
    <xf numFmtId="0" fontId="3" fillId="20" borderId="0" xfId="0" applyFont="1" applyFill="1" applyAlignment="1">
      <alignment horizontal="center"/>
    </xf>
    <xf numFmtId="0" fontId="35" fillId="13" borderId="15" xfId="0" applyFont="1" applyFill="1" applyBorder="1" applyAlignment="1">
      <alignment horizontal="center"/>
    </xf>
    <xf numFmtId="0" fontId="35" fillId="13" borderId="46" xfId="0" applyFont="1" applyFill="1" applyBorder="1" applyAlignment="1">
      <alignment horizontal="center"/>
    </xf>
    <xf numFmtId="0" fontId="2" fillId="0" borderId="0" xfId="0" applyFont="1" applyAlignment="1">
      <alignment horizontal="center" vertical="center"/>
    </xf>
    <xf numFmtId="0" fontId="2" fillId="0" borderId="0" xfId="0" applyFont="1" applyAlignment="1" applyProtection="1">
      <alignment horizontal="center"/>
      <protection hidden="1"/>
    </xf>
    <xf numFmtId="0" fontId="0" fillId="0" borderId="0" xfId="0" applyAlignment="1">
      <alignment horizontal="center"/>
    </xf>
    <xf numFmtId="0" fontId="0" fillId="30" borderId="21" xfId="0" applyFill="1" applyBorder="1" applyAlignment="1">
      <alignment horizontal="center"/>
    </xf>
    <xf numFmtId="0" fontId="0" fillId="30" borderId="23" xfId="0" applyFill="1" applyBorder="1" applyAlignment="1">
      <alignment horizontal="center"/>
    </xf>
    <xf numFmtId="0" fontId="0" fillId="0" borderId="0" xfId="0" applyAlignment="1" applyProtection="1">
      <alignment horizontal="center"/>
      <protection locked="0"/>
    </xf>
    <xf numFmtId="0" fontId="0" fillId="30" borderId="19" xfId="0" applyFill="1" applyBorder="1" applyAlignment="1">
      <alignment horizontal="center"/>
    </xf>
    <xf numFmtId="0" fontId="0" fillId="30" borderId="20" xfId="0" applyFill="1" applyBorder="1"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4" borderId="0" xfId="0" applyFill="1" applyAlignment="1" applyProtection="1">
      <alignment horizontal="center"/>
      <protection locked="0"/>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0" borderId="33" xfId="0"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28" borderId="31" xfId="0" applyFill="1" applyBorder="1" applyAlignment="1">
      <alignment horizontal="center"/>
    </xf>
    <xf numFmtId="0" fontId="0" fillId="28" borderId="32" xfId="0" applyFill="1" applyBorder="1" applyAlignment="1">
      <alignment horizontal="center"/>
    </xf>
    <xf numFmtId="0" fontId="0" fillId="0" borderId="33" xfId="0" applyBorder="1" applyAlignment="1">
      <alignment horizontal="center"/>
    </xf>
    <xf numFmtId="2" fontId="0" fillId="22" borderId="53" xfId="0" applyNumberFormat="1" applyFill="1" applyBorder="1" applyAlignment="1">
      <alignment horizontal="center"/>
    </xf>
    <xf numFmtId="2" fontId="0" fillId="22" borderId="65" xfId="0" applyNumberFormat="1" applyFill="1" applyBorder="1" applyAlignment="1">
      <alignment horizontal="center"/>
    </xf>
    <xf numFmtId="2" fontId="0" fillId="22" borderId="11" xfId="0" applyNumberFormat="1" applyFill="1" applyBorder="1" applyAlignment="1">
      <alignment horizontal="center"/>
    </xf>
    <xf numFmtId="2" fontId="0" fillId="22" borderId="54" xfId="0" applyNumberFormat="1" applyFill="1" applyBorder="1" applyAlignment="1">
      <alignment horizontal="center"/>
    </xf>
    <xf numFmtId="0" fontId="0" fillId="22" borderId="99" xfId="0" applyFill="1" applyBorder="1" applyAlignment="1">
      <alignment horizontal="center"/>
    </xf>
    <xf numFmtId="0" fontId="0" fillId="22" borderId="100" xfId="0" applyFill="1" applyBorder="1" applyAlignment="1">
      <alignment horizontal="center"/>
    </xf>
    <xf numFmtId="0" fontId="0" fillId="22" borderId="101" xfId="0" applyFill="1" applyBorder="1" applyAlignment="1">
      <alignment horizontal="center"/>
    </xf>
    <xf numFmtId="2" fontId="0" fillId="22" borderId="52" xfId="0" applyNumberFormat="1" applyFill="1" applyBorder="1" applyAlignment="1">
      <alignment horizontal="center"/>
    </xf>
    <xf numFmtId="0" fontId="35" fillId="13" borderId="18" xfId="0" applyFont="1" applyFill="1" applyBorder="1" applyAlignment="1">
      <alignment horizontal="center"/>
    </xf>
    <xf numFmtId="0" fontId="35" fillId="13" borderId="27" xfId="0" applyFont="1" applyFill="1" applyBorder="1" applyAlignment="1">
      <alignment horizontal="center"/>
    </xf>
    <xf numFmtId="194" fontId="2" fillId="13" borderId="46" xfId="0" applyNumberFormat="1" applyFont="1" applyFill="1" applyBorder="1" applyAlignment="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lignment horizontal="center" vertical="center"/>
    </xf>
    <xf numFmtId="0" fontId="2" fillId="13" borderId="46" xfId="0" applyFont="1" applyFill="1" applyBorder="1" applyAlignment="1">
      <alignment horizontal="center" vertical="center"/>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Alignment="1">
      <alignment horizontal="center" vertical="center"/>
    </xf>
    <xf numFmtId="165" fontId="2" fillId="0" borderId="20" xfId="0" applyNumberFormat="1" applyFont="1" applyBorder="1" applyAlignment="1">
      <alignment horizontal="center" vertical="center"/>
    </xf>
    <xf numFmtId="0" fontId="2" fillId="0" borderId="12" xfId="0" applyFont="1" applyBorder="1" applyAlignment="1">
      <alignment horizontal="center" vertical="center"/>
    </xf>
    <xf numFmtId="0" fontId="2" fillId="0" borderId="102" xfId="0" applyFont="1" applyBorder="1" applyAlignment="1">
      <alignment horizontal="center" vertical="center"/>
    </xf>
    <xf numFmtId="0" fontId="2" fillId="0" borderId="20" xfId="0" applyFont="1" applyBorder="1" applyAlignment="1">
      <alignment horizontal="center" vertical="center"/>
    </xf>
    <xf numFmtId="175" fontId="2" fillId="0" borderId="22" xfId="0" applyNumberFormat="1" applyFont="1" applyBorder="1" applyAlignment="1">
      <alignment horizontal="center" vertical="center"/>
    </xf>
    <xf numFmtId="175" fontId="2" fillId="0" borderId="23" xfId="0" applyNumberFormat="1" applyFont="1" applyBorder="1" applyAlignment="1">
      <alignment horizontal="center" vertical="center"/>
    </xf>
    <xf numFmtId="165" fontId="2" fillId="0" borderId="12" xfId="0" applyNumberFormat="1" applyFont="1" applyBorder="1" applyAlignment="1">
      <alignment horizontal="center" vertical="center"/>
    </xf>
    <xf numFmtId="1" fontId="2" fillId="0" borderId="12" xfId="0" applyNumberFormat="1" applyFont="1" applyBorder="1" applyAlignment="1">
      <alignment horizontal="center" vertical="center"/>
    </xf>
    <xf numFmtId="0" fontId="2" fillId="0" borderId="21" xfId="0" applyFont="1" applyBorder="1" applyAlignment="1">
      <alignment horizontal="left"/>
    </xf>
    <xf numFmtId="0" fontId="2" fillId="0" borderId="22" xfId="0" applyFont="1" applyBorder="1" applyAlignment="1">
      <alignment horizontal="left"/>
    </xf>
    <xf numFmtId="0" fontId="2" fillId="0" borderId="31" xfId="0" applyFont="1" applyBorder="1" applyAlignment="1">
      <alignment horizontal="left"/>
    </xf>
    <xf numFmtId="0" fontId="2" fillId="0" borderId="33" xfId="0" applyFont="1" applyBorder="1" applyAlignment="1">
      <alignment horizontal="left"/>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rgb="FFFF0000"/>
      </font>
    </dxf>
    <dxf>
      <font>
        <color rgb="FF808080"/>
      </font>
    </dxf>
    <dxf>
      <fill>
        <patternFill>
          <bgColor indexed="10"/>
        </patternFill>
      </fill>
    </dxf>
    <dxf>
      <fill>
        <patternFill patternType="solid">
          <fgColor indexed="53"/>
          <bgColor rgb="FFFF0000"/>
        </patternFill>
      </fill>
    </dxf>
    <dxf>
      <fill>
        <patternFill patternType="solid">
          <fgColor indexed="60"/>
          <bgColor indexed="10"/>
        </patternFill>
      </fill>
    </dxf>
    <dxf>
      <fill>
        <patternFill>
          <bgColor rgb="FFFF0000"/>
        </patternFill>
      </fill>
    </dxf>
    <dxf>
      <font>
        <color rgb="FFCCFFFF"/>
      </font>
    </dxf>
    <dxf>
      <font>
        <color rgb="FFCC6600"/>
      </font>
    </dxf>
    <dxf>
      <font>
        <color rgb="FFCC6600"/>
      </font>
    </dxf>
    <dxf>
      <fill>
        <patternFill>
          <bgColor rgb="FFFF0000"/>
        </patternFill>
      </fill>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theme="0"/>
      </font>
      <fill>
        <patternFill>
          <bgColor theme="0"/>
        </patternFill>
      </fill>
      <border>
        <right/>
        <top/>
        <bottom/>
      </border>
    </dxf>
    <dxf>
      <font>
        <color indexed="9"/>
      </font>
      <fill>
        <patternFill patternType="solid">
          <bgColor indexed="9"/>
        </patternFill>
      </fill>
      <border>
        <left/>
        <right/>
        <top/>
        <bottom/>
      </border>
    </dxf>
    <dxf>
      <font>
        <color theme="0"/>
      </font>
      <fill>
        <patternFill>
          <bgColor theme="0"/>
        </patternFill>
      </fill>
      <border>
        <left/>
        <right/>
        <top/>
        <bottom/>
      </border>
    </dxf>
    <dxf>
      <font>
        <color theme="0"/>
      </font>
      <fill>
        <patternFill patternType="solid">
          <bgColor theme="0"/>
        </patternFill>
      </fill>
      <border>
        <right/>
        <bottom/>
      </border>
    </dxf>
    <dxf>
      <fill>
        <patternFill patternType="solid">
          <fgColor indexed="60"/>
          <bgColor indexed="10"/>
        </patternFill>
      </fill>
    </dxf>
    <dxf>
      <font>
        <color rgb="FFFFFF99"/>
        <name val="Cambria"/>
        <scheme val="none"/>
      </font>
    </dxf>
    <dxf>
      <font>
        <color rgb="FF808080"/>
      </font>
    </dxf>
    <dxf>
      <font>
        <color theme="0"/>
      </font>
      <fill>
        <patternFill>
          <bgColor theme="0"/>
        </patternFill>
      </fill>
      <border>
        <left/>
        <right/>
        <bottom/>
      </border>
    </dxf>
    <dxf>
      <font>
        <color rgb="FFFF0000"/>
      </font>
    </dxf>
    <dxf>
      <font>
        <color indexed="9"/>
      </font>
      <fill>
        <patternFill>
          <bgColor indexed="9"/>
        </patternFill>
      </fill>
      <border>
        <left/>
        <right/>
        <top/>
        <bottom/>
      </border>
    </dxf>
    <dxf>
      <font>
        <condense val="0"/>
        <extend val="0"/>
        <color indexed="9"/>
      </font>
      <fill>
        <patternFill patternType="none">
          <bgColor indexed="65"/>
        </patternFill>
      </fill>
      <border>
        <left/>
        <right/>
        <top/>
        <bottom/>
      </border>
    </dxf>
    <dxf>
      <font>
        <condense val="0"/>
        <extend val="0"/>
        <color indexed="9"/>
      </font>
      <fill>
        <patternFill patternType="none">
          <bgColor indexed="65"/>
        </patternFill>
      </fill>
      <border>
        <left/>
        <right/>
        <top/>
        <bottom/>
      </border>
    </dxf>
    <dxf>
      <font>
        <color theme="0"/>
      </font>
    </dxf>
    <dxf>
      <font>
        <color rgb="FFFF0000"/>
      </font>
    </dxf>
    <dxf>
      <font>
        <color rgb="FFFF0000"/>
      </font>
    </dxf>
    <dxf>
      <font>
        <color rgb="FFFF0000"/>
      </font>
    </dxf>
    <dxf>
      <font>
        <condense val="0"/>
        <extend val="0"/>
        <color indexed="11"/>
      </font>
    </dxf>
    <dxf>
      <font>
        <color rgb="FFFF0000"/>
      </font>
    </dxf>
    <dxf>
      <font>
        <color rgb="FFFF0000"/>
      </font>
    </dxf>
    <dxf>
      <font>
        <color rgb="FFFF0000"/>
      </font>
    </dxf>
    <dxf>
      <font>
        <color rgb="FFFF0000"/>
      </font>
    </dxf>
    <dxf>
      <font>
        <color theme="1"/>
      </font>
    </dxf>
    <dxf>
      <font>
        <color rgb="FFFFFF99"/>
      </font>
    </dxf>
    <dxf>
      <font>
        <color rgb="FFCC6600"/>
      </font>
    </dxf>
    <dxf>
      <font>
        <color rgb="FFCC6600"/>
      </font>
    </dxf>
    <dxf>
      <font>
        <color rgb="FFCC6600"/>
      </font>
    </dxf>
    <dxf>
      <font>
        <color rgb="FFCC6600"/>
      </font>
    </dxf>
    <dxf>
      <font>
        <color rgb="FFCC6600"/>
      </font>
    </dxf>
    <dxf>
      <font>
        <color theme="1"/>
      </font>
    </dxf>
    <dxf>
      <font>
        <color rgb="FFCC6600"/>
      </font>
    </dxf>
    <dxf>
      <font>
        <color rgb="FFCC6600"/>
      </font>
    </dxf>
    <dxf>
      <font>
        <color rgb="FFFF0000"/>
      </font>
    </dxf>
    <dxf>
      <font>
        <color rgb="FFCC6600"/>
      </font>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42</c:v>
                </c:pt>
                <c:pt idx="2">
                  <c:v>42</c:v>
                </c:pt>
                <c:pt idx="3">
                  <c:v>52</c:v>
                </c:pt>
                <c:pt idx="4">
                  <c:v>52</c:v>
                </c:pt>
                <c:pt idx="5">
                  <c:v>42</c:v>
                </c:pt>
                <c:pt idx="6">
                  <c:v>42</c:v>
                </c:pt>
                <c:pt idx="7">
                  <c:v>0</c:v>
                </c:pt>
              </c:numCache>
            </c:numRef>
          </c:xVal>
          <c:yVal>
            <c:numRef>
              <c:f>Stabilito!$C$124:$C$131</c:f>
              <c:numCache>
                <c:formatCode>0</c:formatCode>
                <c:ptCount val="8"/>
                <c:pt idx="0">
                  <c:v>-252</c:v>
                </c:pt>
                <c:pt idx="1">
                  <c:v>-252</c:v>
                </c:pt>
                <c:pt idx="2">
                  <c:v>-942</c:v>
                </c:pt>
                <c:pt idx="3">
                  <c:v>-1002</c:v>
                </c:pt>
                <c:pt idx="4">
                  <c:v>-2002</c:v>
                </c:pt>
                <c:pt idx="5">
                  <c:v>-2042</c:v>
                </c:pt>
                <c:pt idx="6">
                  <c:v>-2052</c:v>
                </c:pt>
                <c:pt idx="7">
                  <c:v>-2052</c:v>
                </c:pt>
              </c:numCache>
            </c:numRef>
          </c:yVal>
          <c:smooth val="0"/>
          <c:extLst>
            <c:ext xmlns:c16="http://schemas.microsoft.com/office/drawing/2014/chart" uri="{C3380CC4-5D6E-409C-BE32-E72D297353CC}">
              <c16:uniqueId val="{00000000-F091-4909-B7A3-EF83D77F839F}"/>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52</c:v>
                </c:pt>
                <c:pt idx="1">
                  <c:v>197</c:v>
                </c:pt>
                <c:pt idx="2">
                  <c:v>197</c:v>
                </c:pt>
                <c:pt idx="3">
                  <c:v>52</c:v>
                </c:pt>
                <c:pt idx="4">
                  <c:v>52</c:v>
                </c:pt>
              </c:numCache>
            </c:numRef>
          </c:xVal>
          <c:yVal>
            <c:numRef>
              <c:f>Stabilito!$C$132:$C$136</c:f>
              <c:numCache>
                <c:formatCode>0</c:formatCode>
                <c:ptCount val="5"/>
                <c:pt idx="0">
                  <c:v>-1782</c:v>
                </c:pt>
                <c:pt idx="1">
                  <c:v>-1962</c:v>
                </c:pt>
                <c:pt idx="2">
                  <c:v>-2042</c:v>
                </c:pt>
                <c:pt idx="3">
                  <c:v>-1972</c:v>
                </c:pt>
                <c:pt idx="4">
                  <c:v>-1782</c:v>
                </c:pt>
              </c:numCache>
            </c:numRef>
          </c:yVal>
          <c:smooth val="0"/>
          <c:extLst>
            <c:ext xmlns:c16="http://schemas.microsoft.com/office/drawing/2014/chart" uri="{C3380CC4-5D6E-409C-BE32-E72D297353CC}">
              <c16:uniqueId val="{00000001-F091-4909-B7A3-EF83D77F839F}"/>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-42</c:v>
                </c:pt>
                <c:pt idx="2">
                  <c:v>-42</c:v>
                </c:pt>
                <c:pt idx="3">
                  <c:v>-52</c:v>
                </c:pt>
                <c:pt idx="4">
                  <c:v>-52</c:v>
                </c:pt>
                <c:pt idx="5">
                  <c:v>-42</c:v>
                </c:pt>
                <c:pt idx="6">
                  <c:v>-42</c:v>
                </c:pt>
                <c:pt idx="7">
                  <c:v>0</c:v>
                </c:pt>
              </c:numCache>
            </c:numRef>
          </c:xVal>
          <c:yVal>
            <c:numRef>
              <c:f>Stabilito!$C$124:$C$131</c:f>
              <c:numCache>
                <c:formatCode>0</c:formatCode>
                <c:ptCount val="8"/>
                <c:pt idx="0">
                  <c:v>-252</c:v>
                </c:pt>
                <c:pt idx="1">
                  <c:v>-252</c:v>
                </c:pt>
                <c:pt idx="2">
                  <c:v>-942</c:v>
                </c:pt>
                <c:pt idx="3">
                  <c:v>-1002</c:v>
                </c:pt>
                <c:pt idx="4">
                  <c:v>-2002</c:v>
                </c:pt>
                <c:pt idx="5">
                  <c:v>-2042</c:v>
                </c:pt>
                <c:pt idx="6">
                  <c:v>-2052</c:v>
                </c:pt>
                <c:pt idx="7">
                  <c:v>-2052</c:v>
                </c:pt>
              </c:numCache>
            </c:numRef>
          </c:yVal>
          <c:smooth val="0"/>
          <c:extLst>
            <c:ext xmlns:c16="http://schemas.microsoft.com/office/drawing/2014/chart" uri="{C3380CC4-5D6E-409C-BE32-E72D297353CC}">
              <c16:uniqueId val="{00000002-F091-4909-B7A3-EF83D77F839F}"/>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-52</c:v>
                </c:pt>
                <c:pt idx="1">
                  <c:v>-197</c:v>
                </c:pt>
                <c:pt idx="2">
                  <c:v>-197</c:v>
                </c:pt>
                <c:pt idx="3">
                  <c:v>-52</c:v>
                </c:pt>
                <c:pt idx="4">
                  <c:v>-52</c:v>
                </c:pt>
              </c:numCache>
            </c:numRef>
          </c:xVal>
          <c:yVal>
            <c:numRef>
              <c:f>Stabilito!$C$132:$C$136</c:f>
              <c:numCache>
                <c:formatCode>0</c:formatCode>
                <c:ptCount val="5"/>
                <c:pt idx="0">
                  <c:v>-1782</c:v>
                </c:pt>
                <c:pt idx="1">
                  <c:v>-1962</c:v>
                </c:pt>
                <c:pt idx="2">
                  <c:v>-2042</c:v>
                </c:pt>
                <c:pt idx="3">
                  <c:v>-1972</c:v>
                </c:pt>
                <c:pt idx="4">
                  <c:v>-1782</c:v>
                </c:pt>
              </c:numCache>
            </c:numRef>
          </c:yVal>
          <c:smooth val="0"/>
          <c:extLst>
            <c:ext xmlns:c16="http://schemas.microsoft.com/office/drawing/2014/chart" uri="{C3380CC4-5D6E-409C-BE32-E72D297353CC}">
              <c16:uniqueId val="{00000003-F091-4909-B7A3-EF83D77F839F}"/>
            </c:ext>
          </c:extLst>
        </c:ser>
        <c:ser>
          <c:idx val="4"/>
          <c:order val="4"/>
          <c:tx>
            <c:strRef>
              <c:f>Stabilito!$B$13</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-1180.9943074003795</c:v>
                </c:pt>
                <c:pt idx="1">
                  <c:v>-1102.253980193055</c:v>
                </c:pt>
              </c:numCache>
            </c:numRef>
          </c:yVal>
          <c:smooth val="0"/>
          <c:extLst>
            <c:ext xmlns:c16="http://schemas.microsoft.com/office/drawing/2014/chart" uri="{C3380CC4-5D6E-409C-BE32-E72D297353CC}">
              <c16:uniqueId val="{00000005-F091-4909-B7A3-EF83D77F839F}"/>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149.12948659418851</c:v>
                </c:pt>
                <c:pt idx="2">
                  <c:v>178.81567408747844</c:v>
                </c:pt>
                <c:pt idx="3">
                  <c:v>0</c:v>
                </c:pt>
              </c:numCache>
            </c:numRef>
          </c:xVal>
          <c:yVal>
            <c:numRef>
              <c:f>Stabilito!$C$151:$C$154</c:f>
              <c:numCache>
                <c:formatCode>0</c:formatCode>
                <c:ptCount val="4"/>
                <c:pt idx="0">
                  <c:v>-1299.8709230581503</c:v>
                </c:pt>
                <c:pt idx="1">
                  <c:v>-1299.8709230581503</c:v>
                </c:pt>
                <c:pt idx="2">
                  <c:v>-1398.7372071664226</c:v>
                </c:pt>
                <c:pt idx="3">
                  <c:v>-1398.7372071664226</c:v>
                </c:pt>
              </c:numCache>
            </c:numRef>
          </c:yVal>
          <c:smooth val="0"/>
          <c:extLst>
            <c:ext xmlns:c16="http://schemas.microsoft.com/office/drawing/2014/chart" uri="{C3380CC4-5D6E-409C-BE32-E72D297353CC}">
              <c16:uniqueId val="{00000007-F091-4909-B7A3-EF83D77F839F}"/>
            </c:ext>
          </c:extLst>
        </c:ser>
        <c:ser>
          <c:idx val="6"/>
          <c:order val="6"/>
          <c:tx>
            <c:v>canard</c:v>
          </c:tx>
          <c:spPr>
            <a:ln w="25400">
              <a:solidFill>
                <a:srgbClr val="008000"/>
              </a:solidFill>
              <a:prstDash val="solid"/>
            </a:ln>
          </c:spPr>
          <c:marker>
            <c:symbol val="none"/>
          </c:marker>
          <c:xVal>
            <c:numRef>
              <c:f>Stabilito!$D$158:$D$162</c:f>
              <c:numCache>
                <c:formatCode>0</c:formatCode>
                <c:ptCount val="5"/>
                <c:pt idx="0">
                  <c:v>52</c:v>
                </c:pt>
                <c:pt idx="1">
                  <c:v>159</c:v>
                </c:pt>
                <c:pt idx="2">
                  <c:v>159</c:v>
                </c:pt>
                <c:pt idx="3">
                  <c:v>52</c:v>
                </c:pt>
                <c:pt idx="4">
                  <c:v>52</c:v>
                </c:pt>
              </c:numCache>
            </c:numRef>
          </c:xVal>
          <c:yVal>
            <c:numRef>
              <c:f>Stabilito!$C$158:$C$162</c:f>
              <c:numCache>
                <c:formatCode>0</c:formatCode>
                <c:ptCount val="5"/>
                <c:pt idx="0">
                  <c:v>-772</c:v>
                </c:pt>
                <c:pt idx="1">
                  <c:v>-892</c:v>
                </c:pt>
                <c:pt idx="2">
                  <c:v>-972</c:v>
                </c:pt>
                <c:pt idx="3">
                  <c:v>-942</c:v>
                </c:pt>
                <c:pt idx="4">
                  <c:v>-772</c:v>
                </c:pt>
              </c:numCache>
            </c:numRef>
          </c:yVal>
          <c:smooth val="0"/>
          <c:extLst>
            <c:ext xmlns:c16="http://schemas.microsoft.com/office/drawing/2014/chart" uri="{C3380CC4-5D6E-409C-BE32-E72D297353CC}">
              <c16:uniqueId val="{00000008-F091-4909-B7A3-EF83D77F839F}"/>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-52</c:v>
                </c:pt>
                <c:pt idx="1">
                  <c:v>-159</c:v>
                </c:pt>
                <c:pt idx="2">
                  <c:v>-159</c:v>
                </c:pt>
                <c:pt idx="3">
                  <c:v>-52</c:v>
                </c:pt>
                <c:pt idx="4">
                  <c:v>-52</c:v>
                </c:pt>
              </c:numCache>
            </c:numRef>
          </c:xVal>
          <c:yVal>
            <c:numRef>
              <c:f>Stabilito!$C$158:$C$162</c:f>
              <c:numCache>
                <c:formatCode>0</c:formatCode>
                <c:ptCount val="5"/>
                <c:pt idx="0">
                  <c:v>-772</c:v>
                </c:pt>
                <c:pt idx="1">
                  <c:v>-892</c:v>
                </c:pt>
                <c:pt idx="2">
                  <c:v>-972</c:v>
                </c:pt>
                <c:pt idx="3">
                  <c:v>-942</c:v>
                </c:pt>
                <c:pt idx="4">
                  <c:v>-772</c:v>
                </c:pt>
              </c:numCache>
            </c:numRef>
          </c:yVal>
          <c:smooth val="0"/>
          <c:extLst>
            <c:ext xmlns:c16="http://schemas.microsoft.com/office/drawing/2014/chart" uri="{C3380CC4-5D6E-409C-BE32-E72D297353CC}">
              <c16:uniqueId val="{00000009-F091-4909-B7A3-EF83D77F839F}"/>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52</c:v>
                </c:pt>
                <c:pt idx="1">
                  <c:v>149</c:v>
                </c:pt>
                <c:pt idx="2">
                  <c:v>149</c:v>
                </c:pt>
                <c:pt idx="3">
                  <c:v>52</c:v>
                </c:pt>
                <c:pt idx="4">
                  <c:v>52</c:v>
                </c:pt>
              </c:numCache>
            </c:numRef>
          </c:xVal>
          <c:yVal>
            <c:numRef>
              <c:f>Stabilito!$C$163:$C$167</c:f>
              <c:numCache>
                <c:formatCode>0</c:formatCode>
                <c:ptCount val="5"/>
                <c:pt idx="0">
                  <c:v>-1782</c:v>
                </c:pt>
                <c:pt idx="1">
                  <c:v>-1902.4137931034484</c:v>
                </c:pt>
                <c:pt idx="2">
                  <c:v>-2018.8275862068967</c:v>
                </c:pt>
                <c:pt idx="3">
                  <c:v>-1972</c:v>
                </c:pt>
                <c:pt idx="4">
                  <c:v>-1782</c:v>
                </c:pt>
              </c:numCache>
            </c:numRef>
          </c:yVal>
          <c:smooth val="0"/>
          <c:extLst>
            <c:ext xmlns:c16="http://schemas.microsoft.com/office/drawing/2014/chart" uri="{C3380CC4-5D6E-409C-BE32-E72D297353CC}">
              <c16:uniqueId val="{0000000A-F091-4909-B7A3-EF83D77F839F}"/>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-52</c:v>
                </c:pt>
                <c:pt idx="1">
                  <c:v>-149</c:v>
                </c:pt>
                <c:pt idx="2">
                  <c:v>-149</c:v>
                </c:pt>
                <c:pt idx="3">
                  <c:v>-52</c:v>
                </c:pt>
                <c:pt idx="4">
                  <c:v>-52</c:v>
                </c:pt>
              </c:numCache>
            </c:numRef>
          </c:xVal>
          <c:yVal>
            <c:numRef>
              <c:f>Stabilito!$C$163:$C$167</c:f>
              <c:numCache>
                <c:formatCode>0</c:formatCode>
                <c:ptCount val="5"/>
                <c:pt idx="0">
                  <c:v>-1782</c:v>
                </c:pt>
                <c:pt idx="1">
                  <c:v>-1902.4137931034484</c:v>
                </c:pt>
                <c:pt idx="2">
                  <c:v>-2018.8275862068967</c:v>
                </c:pt>
                <c:pt idx="3">
                  <c:v>-1972</c:v>
                </c:pt>
                <c:pt idx="4">
                  <c:v>-1782</c:v>
                </c:pt>
              </c:numCache>
            </c:numRef>
          </c:yVal>
          <c:smooth val="0"/>
          <c:extLst>
            <c:ext xmlns:c16="http://schemas.microsoft.com/office/drawing/2014/chart" uri="{C3380CC4-5D6E-409C-BE32-E72D297353CC}">
              <c16:uniqueId val="{0000000B-F091-4909-B7A3-EF83D77F839F}"/>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684</c:v>
                </c:pt>
                <c:pt idx="1">
                  <c:v>-684</c:v>
                </c:pt>
              </c:numCache>
            </c:numRef>
          </c:xVal>
          <c:yVal>
            <c:numRef>
              <c:f>Stabilito!$C$168:$C$169</c:f>
              <c:numCache>
                <c:formatCode>0</c:formatCode>
                <c:ptCount val="2"/>
                <c:pt idx="0">
                  <c:v>-2072.52</c:v>
                </c:pt>
                <c:pt idx="1">
                  <c:v>-2072.52</c:v>
                </c:pt>
              </c:numCache>
            </c:numRef>
          </c:yVal>
          <c:smooth val="0"/>
          <c:extLst>
            <c:ext xmlns:c16="http://schemas.microsoft.com/office/drawing/2014/chart" uri="{C3380CC4-5D6E-409C-BE32-E72D297353CC}">
              <c16:uniqueId val="{0000000C-F091-4909-B7A3-EF83D77F839F}"/>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-27</c:v>
                </c:pt>
                <c:pt idx="1">
                  <c:v>27</c:v>
                </c:pt>
                <c:pt idx="2">
                  <c:v>27</c:v>
                </c:pt>
                <c:pt idx="3">
                  <c:v>-27</c:v>
                </c:pt>
                <c:pt idx="4">
                  <c:v>-27</c:v>
                </c:pt>
              </c:numCache>
            </c:numRef>
          </c:xVal>
          <c:yVal>
            <c:numRef>
              <c:f>Stabilito!$C$170:$C$174</c:f>
              <c:numCache>
                <c:formatCode>0</c:formatCode>
                <c:ptCount val="5"/>
                <c:pt idx="0">
                  <c:v>-1564</c:v>
                </c:pt>
                <c:pt idx="1">
                  <c:v>-1564</c:v>
                </c:pt>
                <c:pt idx="2">
                  <c:v>-2052</c:v>
                </c:pt>
                <c:pt idx="3">
                  <c:v>-2052</c:v>
                </c:pt>
                <c:pt idx="4">
                  <c:v>-1564</c:v>
                </c:pt>
              </c:numCache>
            </c:numRef>
          </c:yVal>
          <c:smooth val="0"/>
          <c:extLst>
            <c:ext xmlns:c16="http://schemas.microsoft.com/office/drawing/2014/chart" uri="{C3380CC4-5D6E-409C-BE32-E72D297353CC}">
              <c16:uniqueId val="{0000000D-F091-4909-B7A3-EF83D77F839F}"/>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E-F091-4909-B7A3-EF83D77F839F}"/>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F-F091-4909-B7A3-EF83D77F839F}"/>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-197</c:v>
                </c:pt>
                <c:pt idx="1">
                  <c:v>-124.5</c:v>
                </c:pt>
                <c:pt idx="2">
                  <c:v>-52</c:v>
                </c:pt>
              </c:numCache>
            </c:numRef>
          </c:xVal>
          <c:yVal>
            <c:numRef>
              <c:f>Stabilito!$C$137:$C$139</c:f>
              <c:numCache>
                <c:formatCode>0</c:formatCode>
                <c:ptCount val="3"/>
                <c:pt idx="0">
                  <c:v>-2110.4</c:v>
                </c:pt>
                <c:pt idx="1">
                  <c:v>-2110.4</c:v>
                </c:pt>
                <c:pt idx="2">
                  <c:v>-2110.4</c:v>
                </c:pt>
              </c:numCache>
            </c:numRef>
          </c:yVal>
          <c:smooth val="0"/>
          <c:extLst>
            <c:ext xmlns:c16="http://schemas.microsoft.com/office/drawing/2014/chart" uri="{C3380CC4-5D6E-409C-BE32-E72D297353CC}">
              <c16:uniqueId val="{00000011-F091-4909-B7A3-EF83D77F839F}"/>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-265.39999999999998</c:v>
                </c:pt>
                <c:pt idx="1">
                  <c:v>-265.39999999999998</c:v>
                </c:pt>
                <c:pt idx="2">
                  <c:v>-265.39999999999998</c:v>
                </c:pt>
              </c:numCache>
            </c:numRef>
          </c:xVal>
          <c:yVal>
            <c:numRef>
              <c:f>Stabilito!$C$143:$C$145</c:f>
              <c:numCache>
                <c:formatCode>0</c:formatCode>
                <c:ptCount val="3"/>
                <c:pt idx="0">
                  <c:v>-1782</c:v>
                </c:pt>
                <c:pt idx="1">
                  <c:v>-1872</c:v>
                </c:pt>
                <c:pt idx="2">
                  <c:v>-1962</c:v>
                </c:pt>
              </c:numCache>
            </c:numRef>
          </c:yVal>
          <c:smooth val="0"/>
          <c:extLst>
            <c:ext xmlns:c16="http://schemas.microsoft.com/office/drawing/2014/chart" uri="{C3380CC4-5D6E-409C-BE32-E72D297353CC}">
              <c16:uniqueId val="{00000013-F091-4909-B7A3-EF83D77F839F}"/>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-299.60000000000002</c:v>
                </c:pt>
                <c:pt idx="1">
                  <c:v>-299.60000000000002</c:v>
                </c:pt>
                <c:pt idx="2">
                  <c:v>-299.60000000000002</c:v>
                </c:pt>
              </c:numCache>
            </c:numRef>
          </c:xVal>
          <c:yVal>
            <c:numRef>
              <c:f>Stabilito!$C$146:$C$148</c:f>
              <c:numCache>
                <c:formatCode>0</c:formatCode>
                <c:ptCount val="3"/>
                <c:pt idx="0">
                  <c:v>-1962</c:v>
                </c:pt>
                <c:pt idx="1">
                  <c:v>-2002</c:v>
                </c:pt>
                <c:pt idx="2">
                  <c:v>-2042</c:v>
                </c:pt>
              </c:numCache>
            </c:numRef>
          </c:yVal>
          <c:smooth val="0"/>
          <c:extLst>
            <c:ext xmlns:c16="http://schemas.microsoft.com/office/drawing/2014/chart" uri="{C3380CC4-5D6E-409C-BE32-E72D297353CC}">
              <c16:uniqueId val="{00000015-F091-4909-B7A3-EF83D77F839F}"/>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299.60000000000002</c:v>
                </c:pt>
                <c:pt idx="1">
                  <c:v>299.60000000000002</c:v>
                </c:pt>
                <c:pt idx="2">
                  <c:v>299.60000000000002</c:v>
                </c:pt>
              </c:numCache>
            </c:numRef>
          </c:xVal>
          <c:yVal>
            <c:numRef>
              <c:f>Stabilito!$C$140:$C$142</c:f>
              <c:numCache>
                <c:formatCode>0</c:formatCode>
                <c:ptCount val="3"/>
                <c:pt idx="0">
                  <c:v>-1782</c:v>
                </c:pt>
                <c:pt idx="1">
                  <c:v>-1877</c:v>
                </c:pt>
                <c:pt idx="2">
                  <c:v>-1972</c:v>
                </c:pt>
              </c:numCache>
            </c:numRef>
          </c:yVal>
          <c:smooth val="0"/>
          <c:extLst>
            <c:ext xmlns:c16="http://schemas.microsoft.com/office/drawing/2014/chart" uri="{C3380CC4-5D6E-409C-BE32-E72D297353CC}">
              <c16:uniqueId val="{00000017-F091-4909-B7A3-EF83D77F839F}"/>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-299.60000000000002</c:v>
                </c:pt>
                <c:pt idx="1">
                  <c:v>-299.60000000000002</c:v>
                </c:pt>
                <c:pt idx="2">
                  <c:v>-299.60000000000002</c:v>
                </c:pt>
              </c:numCache>
            </c:numRef>
          </c:xVal>
          <c:yVal>
            <c:numRef>
              <c:f>Stabilito!$C$155:$C$157</c:f>
              <c:numCache>
                <c:formatCode>0</c:formatCode>
                <c:ptCount val="3"/>
                <c:pt idx="0">
                  <c:v>-1141.6241437967174</c:v>
                </c:pt>
                <c:pt idx="1">
                  <c:v>-1220.7475334274338</c:v>
                </c:pt>
                <c:pt idx="2">
                  <c:v>-1299.8709230581503</c:v>
                </c:pt>
              </c:numCache>
            </c:numRef>
          </c:yVal>
          <c:smooth val="0"/>
          <c:extLst>
            <c:ext xmlns:c16="http://schemas.microsoft.com/office/drawing/2014/chart" uri="{C3380CC4-5D6E-409C-BE32-E72D297353CC}">
              <c16:uniqueId val="{00000019-F091-4909-B7A3-EF83D77F839F}"/>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3.4637500000000001</c:v>
                </c:pt>
                <c:pt idx="2">
                  <c:v>5.2954999999999997</c:v>
                </c:pt>
                <c:pt idx="3">
                  <c:v>7.1272500000000001</c:v>
                </c:pt>
                <c:pt idx="4">
                  <c:v>8.9589999999999996</c:v>
                </c:pt>
                <c:pt idx="5">
                  <c:v>10.790749999999999</c:v>
                </c:pt>
                <c:pt idx="6">
                  <c:v>12.6225</c:v>
                </c:pt>
                <c:pt idx="7">
                  <c:v>14.45425</c:v>
                </c:pt>
                <c:pt idx="8">
                  <c:v>16.286000000000001</c:v>
                </c:pt>
              </c:numCache>
            </c:numRef>
          </c:xVal>
          <c:yVal>
            <c:numRef>
              <c:f>Abaco!$K$43:$K$51</c:f>
              <c:numCache>
                <c:formatCode>General" m/s"</c:formatCode>
                <c:ptCount val="9"/>
                <c:pt idx="0">
                  <c:v>1002.4406316061013</c:v>
                </c:pt>
                <c:pt idx="1">
                  <c:v>585.38791260444941</c:v>
                </c:pt>
                <c:pt idx="2">
                  <c:v>381.74413892664654</c:v>
                </c:pt>
                <c:pt idx="3">
                  <c:v>277.83852186974985</c:v>
                </c:pt>
                <c:pt idx="4">
                  <c:v>216.19238455241052</c:v>
                </c:pt>
                <c:pt idx="5">
                  <c:v>175.65232535958751</c:v>
                </c:pt>
                <c:pt idx="6">
                  <c:v>147.04118345713357</c:v>
                </c:pt>
                <c:pt idx="7">
                  <c:v>125.79714120829178</c:v>
                </c:pt>
                <c:pt idx="8">
                  <c:v>109.41109315288004</c:v>
                </c:pt>
              </c:numCache>
            </c:numRef>
          </c:yVal>
          <c:smooth val="0"/>
          <c:extLst>
            <c:ext xmlns:c16="http://schemas.microsoft.com/office/drawing/2014/chart" uri="{C3380CC4-5D6E-409C-BE32-E72D297353CC}">
              <c16:uniqueId val="{00000000-8857-4FF4-B70E-166DFD57E3E3}"/>
            </c:ext>
          </c:extLst>
        </c:ser>
        <c:ser>
          <c:idx val="1"/>
          <c:order val="1"/>
          <c:tx>
            <c:strRef>
              <c:f>Abaco!$B$52</c:f>
              <c:strCache>
                <c:ptCount val="1"/>
                <c:pt idx="0">
                  <c:v>Ø = 99 mm</c:v>
                </c:pt>
              </c:strCache>
            </c:strRef>
          </c:tx>
          <c:xVal>
            <c:numRef>
              <c:f>Abaco!$D$52:$D$60</c:f>
              <c:numCache>
                <c:formatCode>General\ "kg"</c:formatCode>
                <c:ptCount val="9"/>
                <c:pt idx="0">
                  <c:v>1.6319999999999999</c:v>
                </c:pt>
                <c:pt idx="1">
                  <c:v>3.4637500000000001</c:v>
                </c:pt>
                <c:pt idx="2">
                  <c:v>5.2954999999999997</c:v>
                </c:pt>
                <c:pt idx="3">
                  <c:v>7.1272500000000001</c:v>
                </c:pt>
                <c:pt idx="4">
                  <c:v>8.9589999999999996</c:v>
                </c:pt>
                <c:pt idx="5">
                  <c:v>10.790749999999999</c:v>
                </c:pt>
                <c:pt idx="6">
                  <c:v>12.6225</c:v>
                </c:pt>
                <c:pt idx="7">
                  <c:v>14.45425</c:v>
                </c:pt>
                <c:pt idx="8">
                  <c:v>16.286000000000001</c:v>
                </c:pt>
              </c:numCache>
            </c:numRef>
          </c:xVal>
          <c:yVal>
            <c:numRef>
              <c:f>Abaco!$K$52:$K$60</c:f>
              <c:numCache>
                <c:formatCode>General" m/s"</c:formatCode>
                <c:ptCount val="9"/>
                <c:pt idx="0">
                  <c:v>590.49474934968862</c:v>
                </c:pt>
                <c:pt idx="1">
                  <c:v>474.3375773813608</c:v>
                </c:pt>
                <c:pt idx="2">
                  <c:v>346.92387547298608</c:v>
                </c:pt>
                <c:pt idx="3">
                  <c:v>263.6321019281317</c:v>
                </c:pt>
                <c:pt idx="4">
                  <c:v>209.26036876079667</c:v>
                </c:pt>
                <c:pt idx="5">
                  <c:v>171.83416830796256</c:v>
                </c:pt>
                <c:pt idx="6">
                  <c:v>144.74975581003804</c:v>
                </c:pt>
                <c:pt idx="7">
                  <c:v>124.33196498744194</c:v>
                </c:pt>
                <c:pt idx="8">
                  <c:v>108.42765943573113</c:v>
                </c:pt>
              </c:numCache>
            </c:numRef>
          </c:yVal>
          <c:smooth val="0"/>
          <c:extLst>
            <c:ext xmlns:c16="http://schemas.microsoft.com/office/drawing/2014/chart" uri="{C3380CC4-5D6E-409C-BE32-E72D297353CC}">
              <c16:uniqueId val="{00000001-8857-4FF4-B70E-166DFD57E3E3}"/>
            </c:ext>
          </c:extLst>
        </c:ser>
        <c:ser>
          <c:idx val="2"/>
          <c:order val="2"/>
          <c:tx>
            <c:strRef>
              <c:f>Abaco!$B$61</c:f>
              <c:strCache>
                <c:ptCount val="1"/>
                <c:pt idx="0">
                  <c:v>Ø = 149 mm</c:v>
                </c:pt>
              </c:strCache>
            </c:strRef>
          </c:tx>
          <c:xVal>
            <c:numRef>
              <c:f>Abaco!$D$61:$D$69</c:f>
              <c:numCache>
                <c:formatCode>General\ "kg"</c:formatCode>
                <c:ptCount val="9"/>
                <c:pt idx="0">
                  <c:v>1.6319999999999999</c:v>
                </c:pt>
                <c:pt idx="1">
                  <c:v>3.4637500000000001</c:v>
                </c:pt>
                <c:pt idx="2">
                  <c:v>5.2954999999999997</c:v>
                </c:pt>
                <c:pt idx="3">
                  <c:v>7.1272500000000001</c:v>
                </c:pt>
                <c:pt idx="4">
                  <c:v>8.9589999999999996</c:v>
                </c:pt>
                <c:pt idx="5">
                  <c:v>10.790749999999999</c:v>
                </c:pt>
                <c:pt idx="6">
                  <c:v>12.6225</c:v>
                </c:pt>
                <c:pt idx="7">
                  <c:v>14.45425</c:v>
                </c:pt>
                <c:pt idx="8">
                  <c:v>16.286000000000001</c:v>
                </c:pt>
              </c:numCache>
            </c:numRef>
          </c:xVal>
          <c:yVal>
            <c:numRef>
              <c:f>Abaco!$K$61:$K$69</c:f>
              <c:numCache>
                <c:formatCode>General" m/s"</c:formatCode>
                <c:ptCount val="9"/>
                <c:pt idx="0">
                  <c:v>395.83342877308831</c:v>
                </c:pt>
                <c:pt idx="1">
                  <c:v>365.91559655296919</c:v>
                </c:pt>
                <c:pt idx="2">
                  <c:v>300.75819796849851</c:v>
                </c:pt>
                <c:pt idx="3">
                  <c:v>242.24217139001044</c:v>
                </c:pt>
                <c:pt idx="4">
                  <c:v>198.16054970320241</c:v>
                </c:pt>
                <c:pt idx="5">
                  <c:v>165.51093855355373</c:v>
                </c:pt>
                <c:pt idx="6">
                  <c:v>140.87750313298369</c:v>
                </c:pt>
                <c:pt idx="7">
                  <c:v>121.8236488436041</c:v>
                </c:pt>
                <c:pt idx="8">
                  <c:v>106.72920509783863</c:v>
                </c:pt>
              </c:numCache>
            </c:numRef>
          </c:yVal>
          <c:smooth val="0"/>
          <c:extLst>
            <c:ext xmlns:c16="http://schemas.microsoft.com/office/drawing/2014/chart" uri="{C3380CC4-5D6E-409C-BE32-E72D297353CC}">
              <c16:uniqueId val="{00000002-8857-4FF4-B70E-166DFD57E3E3}"/>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Abaco!$B$76</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3.4637500000000001</c:v>
                </c:pt>
                <c:pt idx="2">
                  <c:v>5.2954999999999997</c:v>
                </c:pt>
                <c:pt idx="3">
                  <c:v>7.1272500000000001</c:v>
                </c:pt>
                <c:pt idx="4">
                  <c:v>8.9589999999999996</c:v>
                </c:pt>
                <c:pt idx="5">
                  <c:v>10.790749999999999</c:v>
                </c:pt>
                <c:pt idx="6">
                  <c:v>12.6225</c:v>
                </c:pt>
                <c:pt idx="7">
                  <c:v>14.45425</c:v>
                </c:pt>
                <c:pt idx="8">
                  <c:v>16.286000000000001</c:v>
                </c:pt>
              </c:numCache>
            </c:numRef>
          </c:xVal>
          <c:yVal>
            <c:numRef>
              <c:f>Abaco!$L$43:$L$51</c:f>
              <c:numCache>
                <c:formatCode>General" m"</c:formatCode>
                <c:ptCount val="9"/>
                <c:pt idx="0">
                  <c:v>2763.5913417554384</c:v>
                </c:pt>
                <c:pt idx="1">
                  <c:v>3933.0400483019857</c:v>
                </c:pt>
                <c:pt idx="2">
                  <c:v>3576.8454983807073</c:v>
                </c:pt>
                <c:pt idx="3">
                  <c:v>2786.683155904489</c:v>
                </c:pt>
                <c:pt idx="4">
                  <c:v>2059.7117921330369</c:v>
                </c:pt>
                <c:pt idx="5">
                  <c:v>1517.1630771459058</c:v>
                </c:pt>
                <c:pt idx="6">
                  <c:v>1136.1159034024433</c:v>
                </c:pt>
                <c:pt idx="7">
                  <c:v>869.7678059949294</c:v>
                </c:pt>
                <c:pt idx="8">
                  <c:v>680.60367157265591</c:v>
                </c:pt>
              </c:numCache>
            </c:numRef>
          </c:yVal>
          <c:smooth val="0"/>
          <c:extLst>
            <c:ext xmlns:c16="http://schemas.microsoft.com/office/drawing/2014/chart" uri="{C3380CC4-5D6E-409C-BE32-E72D297353CC}">
              <c16:uniqueId val="{00000000-7047-4687-B7C4-0BB054548F22}"/>
            </c:ext>
          </c:extLst>
        </c:ser>
        <c:ser>
          <c:idx val="1"/>
          <c:order val="1"/>
          <c:tx>
            <c:strRef>
              <c:f>Abaco!$B$52</c:f>
              <c:strCache>
                <c:ptCount val="1"/>
                <c:pt idx="0">
                  <c:v>Ø = 99 mm</c:v>
                </c:pt>
              </c:strCache>
            </c:strRef>
          </c:tx>
          <c:xVal>
            <c:numRef>
              <c:f>Abaco!$D$52:$D$60</c:f>
              <c:numCache>
                <c:formatCode>General\ "kg"</c:formatCode>
                <c:ptCount val="9"/>
                <c:pt idx="0">
                  <c:v>1.6319999999999999</c:v>
                </c:pt>
                <c:pt idx="1">
                  <c:v>3.4637500000000001</c:v>
                </c:pt>
                <c:pt idx="2">
                  <c:v>5.2954999999999997</c:v>
                </c:pt>
                <c:pt idx="3">
                  <c:v>7.1272500000000001</c:v>
                </c:pt>
                <c:pt idx="4">
                  <c:v>8.9589999999999996</c:v>
                </c:pt>
                <c:pt idx="5">
                  <c:v>10.790749999999999</c:v>
                </c:pt>
                <c:pt idx="6">
                  <c:v>12.6225</c:v>
                </c:pt>
                <c:pt idx="7">
                  <c:v>14.45425</c:v>
                </c:pt>
                <c:pt idx="8">
                  <c:v>16.286000000000001</c:v>
                </c:pt>
              </c:numCache>
            </c:numRef>
          </c:xVal>
          <c:yVal>
            <c:numRef>
              <c:f>Abaco!$L$52:$L$60</c:f>
              <c:numCache>
                <c:formatCode>General" m"</c:formatCode>
                <c:ptCount val="9"/>
                <c:pt idx="0">
                  <c:v>1283.2325904559127</c:v>
                </c:pt>
                <c:pt idx="1">
                  <c:v>1767.1329811640717</c:v>
                </c:pt>
                <c:pt idx="2">
                  <c:v>1845.381516497242</c:v>
                </c:pt>
                <c:pt idx="3">
                  <c:v>1693.9893469486633</c:v>
                </c:pt>
                <c:pt idx="4">
                  <c:v>1446.3983524313728</c:v>
                </c:pt>
                <c:pt idx="5">
                  <c:v>1187.82451561178</c:v>
                </c:pt>
                <c:pt idx="6">
                  <c:v>959.3981244831416</c:v>
                </c:pt>
                <c:pt idx="7">
                  <c:v>772.84318477252043</c:v>
                </c:pt>
                <c:pt idx="8">
                  <c:v>625.73455177255221</c:v>
                </c:pt>
              </c:numCache>
            </c:numRef>
          </c:yVal>
          <c:smooth val="0"/>
          <c:extLst>
            <c:ext xmlns:c16="http://schemas.microsoft.com/office/drawing/2014/chart" uri="{C3380CC4-5D6E-409C-BE32-E72D297353CC}">
              <c16:uniqueId val="{00000001-7047-4687-B7C4-0BB054548F22}"/>
            </c:ext>
          </c:extLst>
        </c:ser>
        <c:ser>
          <c:idx val="2"/>
          <c:order val="2"/>
          <c:tx>
            <c:strRef>
              <c:f>Abaco!$B$61</c:f>
              <c:strCache>
                <c:ptCount val="1"/>
                <c:pt idx="0">
                  <c:v>Ø = 149 mm</c:v>
                </c:pt>
              </c:strCache>
            </c:strRef>
          </c:tx>
          <c:xVal>
            <c:numRef>
              <c:f>Abaco!$D$61:$D$69</c:f>
              <c:numCache>
                <c:formatCode>General\ "kg"</c:formatCode>
                <c:ptCount val="9"/>
                <c:pt idx="0">
                  <c:v>1.6319999999999999</c:v>
                </c:pt>
                <c:pt idx="1">
                  <c:v>3.4637500000000001</c:v>
                </c:pt>
                <c:pt idx="2">
                  <c:v>5.2954999999999997</c:v>
                </c:pt>
                <c:pt idx="3">
                  <c:v>7.1272500000000001</c:v>
                </c:pt>
                <c:pt idx="4">
                  <c:v>8.9589999999999996</c:v>
                </c:pt>
                <c:pt idx="5">
                  <c:v>10.790749999999999</c:v>
                </c:pt>
                <c:pt idx="6">
                  <c:v>12.6225</c:v>
                </c:pt>
                <c:pt idx="7">
                  <c:v>14.45425</c:v>
                </c:pt>
                <c:pt idx="8">
                  <c:v>16.286000000000001</c:v>
                </c:pt>
              </c:numCache>
            </c:numRef>
          </c:xVal>
          <c:yVal>
            <c:numRef>
              <c:f>Abaco!$L$61:$L$69</c:f>
              <c:numCache>
                <c:formatCode>General" m"</c:formatCode>
                <c:ptCount val="9"/>
                <c:pt idx="0">
                  <c:v>794.75834496934203</c:v>
                </c:pt>
                <c:pt idx="1">
                  <c:v>1028.3451555677186</c:v>
                </c:pt>
                <c:pt idx="2">
                  <c:v>1113.3694725818391</c:v>
                </c:pt>
                <c:pt idx="3">
                  <c:v>1094.7335968917505</c:v>
                </c:pt>
                <c:pt idx="4">
                  <c:v>1011.255586480562</c:v>
                </c:pt>
                <c:pt idx="5">
                  <c:v>895.78687542970351</c:v>
                </c:pt>
                <c:pt idx="6">
                  <c:v>772.33496078442511</c:v>
                </c:pt>
                <c:pt idx="7">
                  <c:v>655.58275631010883</c:v>
                </c:pt>
                <c:pt idx="8">
                  <c:v>552.51471270797163</c:v>
                </c:pt>
              </c:numCache>
            </c:numRef>
          </c:yVal>
          <c:smooth val="0"/>
          <c:extLst>
            <c:ext xmlns:c16="http://schemas.microsoft.com/office/drawing/2014/chart" uri="{C3380CC4-5D6E-409C-BE32-E72D297353CC}">
              <c16:uniqueId val="{00000002-7047-4687-B7C4-0BB054548F22}"/>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Abaco!$B$78</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Abaco!$B$81</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3.4637500000000001</c:v>
                </c:pt>
                <c:pt idx="2">
                  <c:v>5.2954999999999997</c:v>
                </c:pt>
                <c:pt idx="3">
                  <c:v>7.1272500000000001</c:v>
                </c:pt>
                <c:pt idx="4">
                  <c:v>8.9589999999999996</c:v>
                </c:pt>
                <c:pt idx="5">
                  <c:v>10.790749999999999</c:v>
                </c:pt>
                <c:pt idx="6">
                  <c:v>12.6225</c:v>
                </c:pt>
                <c:pt idx="7">
                  <c:v>14.45425</c:v>
                </c:pt>
                <c:pt idx="8">
                  <c:v>16.286000000000001</c:v>
                </c:pt>
              </c:numCache>
            </c:numRef>
          </c:xVal>
          <c:yVal>
            <c:numRef>
              <c:f>Abaco!$M$43:$M$51</c:f>
              <c:numCache>
                <c:formatCode>General" s"</c:formatCode>
                <c:ptCount val="9"/>
                <c:pt idx="0">
                  <c:v>13.944383064217877</c:v>
                </c:pt>
                <c:pt idx="1">
                  <c:v>22.695272906137781</c:v>
                </c:pt>
                <c:pt idx="2">
                  <c:v>24.400187669499253</c:v>
                </c:pt>
                <c:pt idx="3">
                  <c:v>22.980304214306866</c:v>
                </c:pt>
                <c:pt idx="4">
                  <c:v>20.507149256688038</c:v>
                </c:pt>
                <c:pt idx="5">
                  <c:v>18.016979477264549</c:v>
                </c:pt>
                <c:pt idx="6">
                  <c:v>15.851596909242703</c:v>
                </c:pt>
                <c:pt idx="7">
                  <c:v>14.053514905089022</c:v>
                </c:pt>
                <c:pt idx="8">
                  <c:v>12.574896675225524</c:v>
                </c:pt>
              </c:numCache>
            </c:numRef>
          </c:yVal>
          <c:smooth val="0"/>
          <c:extLst>
            <c:ext xmlns:c16="http://schemas.microsoft.com/office/drawing/2014/chart" uri="{C3380CC4-5D6E-409C-BE32-E72D297353CC}">
              <c16:uniqueId val="{00000000-DDCF-44BB-899F-3EC11CCF873C}"/>
            </c:ext>
          </c:extLst>
        </c:ser>
        <c:ser>
          <c:idx val="1"/>
          <c:order val="1"/>
          <c:tx>
            <c:strRef>
              <c:f>Abaco!$B$52</c:f>
              <c:strCache>
                <c:ptCount val="1"/>
                <c:pt idx="0">
                  <c:v>Ø = 99 mm</c:v>
                </c:pt>
              </c:strCache>
            </c:strRef>
          </c:tx>
          <c:xVal>
            <c:numRef>
              <c:f>Abaco!$D$52:$D$60</c:f>
              <c:numCache>
                <c:formatCode>General\ "kg"</c:formatCode>
                <c:ptCount val="9"/>
                <c:pt idx="0">
                  <c:v>1.6319999999999999</c:v>
                </c:pt>
                <c:pt idx="1">
                  <c:v>3.4637500000000001</c:v>
                </c:pt>
                <c:pt idx="2">
                  <c:v>5.2954999999999997</c:v>
                </c:pt>
                <c:pt idx="3">
                  <c:v>7.1272500000000001</c:v>
                </c:pt>
                <c:pt idx="4">
                  <c:v>8.9589999999999996</c:v>
                </c:pt>
                <c:pt idx="5">
                  <c:v>10.790749999999999</c:v>
                </c:pt>
                <c:pt idx="6">
                  <c:v>12.6225</c:v>
                </c:pt>
                <c:pt idx="7">
                  <c:v>14.45425</c:v>
                </c:pt>
                <c:pt idx="8">
                  <c:v>16.286000000000001</c:v>
                </c:pt>
              </c:numCache>
            </c:numRef>
          </c:xVal>
          <c:yVal>
            <c:numRef>
              <c:f>Abaco!$M$52:$M$60</c:f>
              <c:numCache>
                <c:formatCode>General" s"</c:formatCode>
                <c:ptCount val="9"/>
                <c:pt idx="0">
                  <c:v>8.4052570892024328</c:v>
                </c:pt>
                <c:pt idx="1">
                  <c:v>13.884228404308445</c:v>
                </c:pt>
                <c:pt idx="2">
                  <c:v>16.189363251655909</c:v>
                </c:pt>
                <c:pt idx="3">
                  <c:v>16.814379671570283</c:v>
                </c:pt>
                <c:pt idx="4">
                  <c:v>16.398486166913003</c:v>
                </c:pt>
                <c:pt idx="5">
                  <c:v>15.425476476209855</c:v>
                </c:pt>
                <c:pt idx="6">
                  <c:v>14.239010559555599</c:v>
                </c:pt>
                <c:pt idx="7">
                  <c:v>13.040549088567106</c:v>
                </c:pt>
                <c:pt idx="8">
                  <c:v>11.925508775370169</c:v>
                </c:pt>
              </c:numCache>
            </c:numRef>
          </c:yVal>
          <c:smooth val="0"/>
          <c:extLst>
            <c:ext xmlns:c16="http://schemas.microsoft.com/office/drawing/2014/chart" uri="{C3380CC4-5D6E-409C-BE32-E72D297353CC}">
              <c16:uniqueId val="{00000001-DDCF-44BB-899F-3EC11CCF873C}"/>
            </c:ext>
          </c:extLst>
        </c:ser>
        <c:ser>
          <c:idx val="2"/>
          <c:order val="2"/>
          <c:tx>
            <c:strRef>
              <c:f>Abaco!$B$61</c:f>
              <c:strCache>
                <c:ptCount val="1"/>
                <c:pt idx="0">
                  <c:v>Ø = 149 mm</c:v>
                </c:pt>
              </c:strCache>
            </c:strRef>
          </c:tx>
          <c:xVal>
            <c:numRef>
              <c:f>Abaco!$D$61:$D$69</c:f>
              <c:numCache>
                <c:formatCode>General\ "kg"</c:formatCode>
                <c:ptCount val="9"/>
                <c:pt idx="0">
                  <c:v>1.6319999999999999</c:v>
                </c:pt>
                <c:pt idx="1">
                  <c:v>3.4637500000000001</c:v>
                </c:pt>
                <c:pt idx="2">
                  <c:v>5.2954999999999997</c:v>
                </c:pt>
                <c:pt idx="3">
                  <c:v>7.1272500000000001</c:v>
                </c:pt>
                <c:pt idx="4">
                  <c:v>8.9589999999999996</c:v>
                </c:pt>
                <c:pt idx="5">
                  <c:v>10.790749999999999</c:v>
                </c:pt>
                <c:pt idx="6">
                  <c:v>12.6225</c:v>
                </c:pt>
                <c:pt idx="7">
                  <c:v>14.45425</c:v>
                </c:pt>
                <c:pt idx="8">
                  <c:v>16.286000000000001</c:v>
                </c:pt>
              </c:numCache>
            </c:numRef>
          </c:xVal>
          <c:yVal>
            <c:numRef>
              <c:f>Abaco!$M$61:$M$69</c:f>
              <c:numCache>
                <c:formatCode>General" s"</c:formatCode>
                <c:ptCount val="9"/>
                <c:pt idx="0">
                  <c:v>6.1713838175324387</c:v>
                </c:pt>
                <c:pt idx="1">
                  <c:v>9.9623564139772949</c:v>
                </c:pt>
                <c:pt idx="2">
                  <c:v>11.894950467601843</c:v>
                </c:pt>
                <c:pt idx="3">
                  <c:v>12.856619177925447</c:v>
                </c:pt>
                <c:pt idx="4">
                  <c:v>13.135647800847757</c:v>
                </c:pt>
                <c:pt idx="5">
                  <c:v>12.93624758100991</c:v>
                </c:pt>
                <c:pt idx="6">
                  <c:v>12.432139991406961</c:v>
                </c:pt>
                <c:pt idx="7">
                  <c:v>11.76395775839482</c:v>
                </c:pt>
                <c:pt idx="8">
                  <c:v>11.032782975531063</c:v>
                </c:pt>
              </c:numCache>
            </c:numRef>
          </c:yVal>
          <c:smooth val="0"/>
          <c:extLst>
            <c:ext xmlns:c16="http://schemas.microsoft.com/office/drawing/2014/chart" uri="{C3380CC4-5D6E-409C-BE32-E72D297353CC}">
              <c16:uniqueId val="{00000002-DDCF-44BB-899F-3EC11CCF873C}"/>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Abaco!$B$75</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Abaco!$B$80</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DD97-4068-951F-4990D529CDCA}"/>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extLst>
            <c:ext xmlns:c16="http://schemas.microsoft.com/office/drawing/2014/chart" uri="{C3380CC4-5D6E-409C-BE32-E72D297353CC}">
              <c16:uniqueId val="{00000001-DD97-4068-951F-4990D529CDCA}"/>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DD97-4068-951F-4990D529CDCA}"/>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DD97-4068-951F-4990D529CDCA}"/>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13.333333333333334</c:v>
                </c:pt>
                <c:pt idx="4">
                  <c:v>8</c:v>
                </c:pt>
                <c:pt idx="5">
                  <c:v>5.7142857142857144</c:v>
                </c:pt>
              </c:numCache>
            </c:numRef>
          </c:yVal>
          <c:smooth val="1"/>
          <c:extLst>
            <c:ext xmlns:c16="http://schemas.microsoft.com/office/drawing/2014/chart" uri="{C3380CC4-5D6E-409C-BE32-E72D297353CC}">
              <c16:uniqueId val="{00000004-DD97-4068-951F-4990D529CDCA}"/>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DD97-4068-951F-4990D529CDCA}"/>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extLst>
            <c:ext xmlns:c16="http://schemas.microsoft.com/office/drawing/2014/chart" uri="{C3380CC4-5D6E-409C-BE32-E72D297353CC}">
              <c16:uniqueId val="{00000006-DD97-4068-951F-4990D529CDCA}"/>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3.6363636363636362</c:v>
                </c:pt>
                <c:pt idx="1">
                  <c:v>7</c:v>
                </c:pt>
              </c:numCache>
            </c:numRef>
          </c:xVal>
          <c:yVal>
            <c:numRef>
              <c:f>Stabilito!$C$197:$C$198</c:f>
              <c:numCache>
                <c:formatCode>General</c:formatCode>
                <c:ptCount val="2"/>
                <c:pt idx="0">
                  <c:v>27.5</c:v>
                </c:pt>
                <c:pt idx="1">
                  <c:v>27.5</c:v>
                </c:pt>
              </c:numCache>
            </c:numRef>
          </c:yVal>
          <c:smooth val="1"/>
          <c:extLst>
            <c:ext xmlns:c16="http://schemas.microsoft.com/office/drawing/2014/chart" uri="{C3380CC4-5D6E-409C-BE32-E72D297353CC}">
              <c16:uniqueId val="{00000007-DD97-4068-951F-4990D529CDCA}"/>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DD97-4068-951F-4990D529CDCA}"/>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extLst>
            <c:ext xmlns:c16="http://schemas.microsoft.com/office/drawing/2014/chart" uri="{C3380CC4-5D6E-409C-BE32-E72D297353CC}">
              <c16:uniqueId val="{00000009-DD97-4068-951F-4990D529CDCA}"/>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1.2007738955330385</c:v>
                </c:pt>
                <c:pt idx="1">
                  <c:v>2.1994232299600318</c:v>
                </c:pt>
                <c:pt idx="2">
                  <c:v>2.9947800704380572</c:v>
                </c:pt>
                <c:pt idx="3">
                  <c:v>1.9961307360110638</c:v>
                </c:pt>
              </c:numCache>
            </c:numRef>
          </c:xVal>
          <c:yVal>
            <c:numRef>
              <c:f>Stabilito!$C$190:$C$193</c:f>
              <c:numCache>
                <c:formatCode>0.00</c:formatCode>
                <c:ptCount val="4"/>
                <c:pt idx="0">
                  <c:v>22.595376756695227</c:v>
                </c:pt>
                <c:pt idx="1">
                  <c:v>27.09328395264825</c:v>
                </c:pt>
                <c:pt idx="2">
                  <c:v>27.09328395264825</c:v>
                </c:pt>
                <c:pt idx="3">
                  <c:v>22.595376756695227</c:v>
                </c:pt>
              </c:numCache>
            </c:numRef>
          </c:yVal>
          <c:smooth val="0"/>
          <c:extLst>
            <c:ext xmlns:c16="http://schemas.microsoft.com/office/drawing/2014/chart" uri="{C3380CC4-5D6E-409C-BE32-E72D297353CC}">
              <c16:uniqueId val="{0000000A-DD97-4068-951F-4990D529CDCA}"/>
            </c:ext>
          </c:extLst>
        </c:ser>
        <c:ser>
          <c:idx val="11"/>
          <c:order val="5"/>
          <c:tx>
            <c:v>Fusée en cours0</c:v>
          </c:tx>
          <c:spPr>
            <a:ln w="25400">
              <a:solidFill>
                <a:schemeClr val="tx1"/>
              </a:solidFill>
            </a:ln>
          </c:spPr>
          <c:marker>
            <c:symbol val="none"/>
          </c:marker>
          <c:xVal>
            <c:numRef>
              <c:f>Stabilito!$B$193:$B$194</c:f>
              <c:numCache>
                <c:formatCode>0.00</c:formatCode>
                <c:ptCount val="2"/>
                <c:pt idx="0">
                  <c:v>1.9961307360110638</c:v>
                </c:pt>
                <c:pt idx="1">
                  <c:v>1.2007738955330385</c:v>
                </c:pt>
              </c:numCache>
            </c:numRef>
          </c:xVal>
          <c:yVal>
            <c:numRef>
              <c:f>Stabilito!$C$193:$C$194</c:f>
              <c:numCache>
                <c:formatCode>0.00</c:formatCode>
                <c:ptCount val="2"/>
                <c:pt idx="0">
                  <c:v>22.595376756695227</c:v>
                </c:pt>
                <c:pt idx="1">
                  <c:v>22.595376756695227</c:v>
                </c:pt>
              </c:numCache>
            </c:numRef>
          </c:yVal>
          <c:smooth val="0"/>
          <c:extLst>
            <c:ext xmlns:c16="http://schemas.microsoft.com/office/drawing/2014/chart" uri="{C3380CC4-5D6E-409C-BE32-E72D297353CC}">
              <c16:uniqueId val="{0000000B-DD97-4068-951F-4990D529CDCA}"/>
            </c:ext>
          </c:extLst>
        </c:ser>
        <c:ser>
          <c:idx val="12"/>
          <c:order val="12"/>
          <c:tx>
            <c:strRef>
              <c:f>Stabilito!$U$29</c:f>
              <c:strCache>
                <c:ptCount val="1"/>
                <c:pt idx="0">
                  <c:v>OpenRocket</c:v>
                </c:pt>
              </c:strCache>
            </c:strRef>
          </c:tx>
          <c:xVal>
            <c:numRef>
              <c:f>Stabilito!$U$31:$U$32</c:f>
              <c:numCache>
                <c:formatCode>General</c:formatCode>
                <c:ptCount val="2"/>
                <c:pt idx="0">
                  <c:v>2.12</c:v>
                </c:pt>
                <c:pt idx="1">
                  <c:v>2.9</c:v>
                </c:pt>
              </c:numCache>
            </c:numRef>
          </c:xVal>
          <c:yVal>
            <c:numRef>
              <c:f>Stabilito!$V$31:$V$32</c:f>
              <c:numCache>
                <c:formatCode>General</c:formatCode>
                <c:ptCount val="2"/>
                <c:pt idx="0">
                  <c:v>24.960999999999999</c:v>
                </c:pt>
                <c:pt idx="1">
                  <c:v>24.960999999999999</c:v>
                </c:pt>
              </c:numCache>
            </c:numRef>
          </c:yVal>
          <c:smooth val="0"/>
          <c:extLst>
            <c:ext xmlns:c16="http://schemas.microsoft.com/office/drawing/2014/chart" uri="{C3380CC4-5D6E-409C-BE32-E72D297353CC}">
              <c16:uniqueId val="{00000000-3ED3-4439-B93A-D35DD3C53364}"/>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Trajecto!$B$111</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Trajecto!$B$121</c:f>
              <c:numCache>
                <c:formatCode>0</c:formatCode>
                <c:ptCount val="1"/>
                <c:pt idx="0">
                  <c:v>1311.9887558152445</c:v>
                </c:pt>
              </c:numCache>
            </c:numRef>
          </c:xVal>
          <c:yVal>
            <c:numRef>
              <c:f>Trajecto!$C$121</c:f>
              <c:numCache>
                <c:formatCode>0</c:formatCode>
                <c:ptCount val="1"/>
                <c:pt idx="0">
                  <c:v>1311.9887558152445</c:v>
                </c:pt>
              </c:numCache>
            </c:numRef>
          </c:yVal>
          <c:smooth val="1"/>
          <c:extLst>
            <c:ext xmlns:c16="http://schemas.microsoft.com/office/drawing/2014/chart" uri="{C3380CC4-5D6E-409C-BE32-E72D297353CC}">
              <c16:uniqueId val="{00000000-432A-49A9-9499-7ED3E32DDB07}"/>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12.514672717815754</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48.922518103845583</c:v>
                </c:pt>
                <c:pt idx="201">
                  <c:v>#N/A</c:v>
                </c:pt>
                <c:pt idx="202">
                  <c:v>#N/A</c:v>
                </c:pt>
                <c:pt idx="203">
                  <c:v>#N/A</c:v>
                </c:pt>
                <c:pt idx="204">
                  <c:v>#N/A</c:v>
                </c:pt>
                <c:pt idx="205">
                  <c:v>#N/A</c:v>
                </c:pt>
                <c:pt idx="206">
                  <c:v>#N/A</c:v>
                </c:pt>
                <c:pt idx="207">
                  <c:v>#N/A</c:v>
                </c:pt>
                <c:pt idx="208">
                  <c:v>#N/A</c:v>
                </c:pt>
                <c:pt idx="209">
                  <c:v>#N/A</c:v>
                </c:pt>
                <c:pt idx="210">
                  <c:v>86.79633691156809</c:v>
                </c:pt>
                <c:pt idx="211">
                  <c:v>#N/A</c:v>
                </c:pt>
                <c:pt idx="212">
                  <c:v>#N/A</c:v>
                </c:pt>
                <c:pt idx="213">
                  <c:v>#N/A</c:v>
                </c:pt>
                <c:pt idx="214">
                  <c:v>#N/A</c:v>
                </c:pt>
                <c:pt idx="215">
                  <c:v>#N/A</c:v>
                </c:pt>
                <c:pt idx="216">
                  <c:v>#N/A</c:v>
                </c:pt>
                <c:pt idx="217">
                  <c:v>#N/A</c:v>
                </c:pt>
                <c:pt idx="218">
                  <c:v>#N/A</c:v>
                </c:pt>
                <c:pt idx="219">
                  <c:v>#N/A</c:v>
                </c:pt>
                <c:pt idx="220">
                  <c:v>121.60864217002043</c:v>
                </c:pt>
                <c:pt idx="221">
                  <c:v>#N/A</c:v>
                </c:pt>
                <c:pt idx="222">
                  <c:v>#N/A</c:v>
                </c:pt>
                <c:pt idx="223">
                  <c:v>#N/A</c:v>
                </c:pt>
                <c:pt idx="224">
                  <c:v>#N/A</c:v>
                </c:pt>
                <c:pt idx="225">
                  <c:v>#N/A</c:v>
                </c:pt>
                <c:pt idx="226">
                  <c:v>#N/A</c:v>
                </c:pt>
                <c:pt idx="227">
                  <c:v>#N/A</c:v>
                </c:pt>
                <c:pt idx="228">
                  <c:v>#N/A</c:v>
                </c:pt>
                <c:pt idx="229">
                  <c:v>#N/A</c:v>
                </c:pt>
                <c:pt idx="230">
                  <c:v>153.99720949275104</c:v>
                </c:pt>
                <c:pt idx="231">
                  <c:v>#N/A</c:v>
                </c:pt>
                <c:pt idx="232">
                  <c:v>#N/A</c:v>
                </c:pt>
                <c:pt idx="233">
                  <c:v>#N/A</c:v>
                </c:pt>
                <c:pt idx="234">
                  <c:v>#N/A</c:v>
                </c:pt>
                <c:pt idx="235">
                  <c:v>#N/A</c:v>
                </c:pt>
                <c:pt idx="236">
                  <c:v>#N/A</c:v>
                </c:pt>
                <c:pt idx="237">
                  <c:v>#N/A</c:v>
                </c:pt>
                <c:pt idx="238">
                  <c:v>#N/A</c:v>
                </c:pt>
                <c:pt idx="239">
                  <c:v>#N/A</c:v>
                </c:pt>
                <c:pt idx="240">
                  <c:v>184.43598718383649</c:v>
                </c:pt>
                <c:pt idx="241">
                  <c:v>#N/A</c:v>
                </c:pt>
                <c:pt idx="242">
                  <c:v>#N/A</c:v>
                </c:pt>
                <c:pt idx="243">
                  <c:v>#N/A</c:v>
                </c:pt>
                <c:pt idx="244">
                  <c:v>#N/A</c:v>
                </c:pt>
                <c:pt idx="245">
                  <c:v>#N/A</c:v>
                </c:pt>
                <c:pt idx="246">
                  <c:v>#N/A</c:v>
                </c:pt>
                <c:pt idx="247">
                  <c:v>#N/A</c:v>
                </c:pt>
                <c:pt idx="248">
                  <c:v>#N/A</c:v>
                </c:pt>
                <c:pt idx="249">
                  <c:v>#N/A</c:v>
                </c:pt>
                <c:pt idx="250">
                  <c:v>213.28878260086654</c:v>
                </c:pt>
                <c:pt idx="251">
                  <c:v>#N/A</c:v>
                </c:pt>
                <c:pt idx="252">
                  <c:v>#N/A</c:v>
                </c:pt>
                <c:pt idx="253">
                  <c:v>#N/A</c:v>
                </c:pt>
                <c:pt idx="254">
                  <c:v>#N/A</c:v>
                </c:pt>
                <c:pt idx="255">
                  <c:v>#N/A</c:v>
                </c:pt>
                <c:pt idx="256">
                  <c:v>#N/A</c:v>
                </c:pt>
                <c:pt idx="257">
                  <c:v>#N/A</c:v>
                </c:pt>
                <c:pt idx="258">
                  <c:v>#N/A</c:v>
                </c:pt>
                <c:pt idx="259">
                  <c:v>#N/A</c:v>
                </c:pt>
                <c:pt idx="260">
                  <c:v>240.84265422307465</c:v>
                </c:pt>
                <c:pt idx="261">
                  <c:v>#N/A</c:v>
                </c:pt>
                <c:pt idx="262">
                  <c:v>#N/A</c:v>
                </c:pt>
                <c:pt idx="263">
                  <c:v>#N/A</c:v>
                </c:pt>
                <c:pt idx="264">
                  <c:v>#N/A</c:v>
                </c:pt>
                <c:pt idx="265">
                  <c:v>#N/A</c:v>
                </c:pt>
                <c:pt idx="266">
                  <c:v>#N/A</c:v>
                </c:pt>
                <c:pt idx="267">
                  <c:v>#N/A</c:v>
                </c:pt>
                <c:pt idx="268">
                  <c:v>#N/A</c:v>
                </c:pt>
                <c:pt idx="269">
                  <c:v>#N/A</c:v>
                </c:pt>
                <c:pt idx="270">
                  <c:v>267.32957065390627</c:v>
                </c:pt>
                <c:pt idx="271">
                  <c:v>#N/A</c:v>
                </c:pt>
                <c:pt idx="272">
                  <c:v>#N/A</c:v>
                </c:pt>
                <c:pt idx="273">
                  <c:v>#N/A</c:v>
                </c:pt>
                <c:pt idx="274">
                  <c:v>#N/A</c:v>
                </c:pt>
                <c:pt idx="275">
                  <c:v>#N/A</c:v>
                </c:pt>
                <c:pt idx="276">
                  <c:v>#N/A</c:v>
                </c:pt>
                <c:pt idx="277">
                  <c:v>#N/A</c:v>
                </c:pt>
                <c:pt idx="278">
                  <c:v>#N/A</c:v>
                </c:pt>
                <c:pt idx="279">
                  <c:v>#N/A</c:v>
                </c:pt>
                <c:pt idx="280">
                  <c:v>292.94090659145286</c:v>
                </c:pt>
                <c:pt idx="281">
                  <c:v>#N/A</c:v>
                </c:pt>
                <c:pt idx="282">
                  <c:v>#N/A</c:v>
                </c:pt>
                <c:pt idx="283">
                  <c:v>#N/A</c:v>
                </c:pt>
                <c:pt idx="284">
                  <c:v>#N/A</c:v>
                </c:pt>
                <c:pt idx="285">
                  <c:v>#N/A</c:v>
                </c:pt>
                <c:pt idx="286">
                  <c:v>#N/A</c:v>
                </c:pt>
                <c:pt idx="287">
                  <c:v>#N/A</c:v>
                </c:pt>
                <c:pt idx="288">
                  <c:v>#N/A</c:v>
                </c:pt>
                <c:pt idx="289">
                  <c:v>#N/A</c:v>
                </c:pt>
                <c:pt idx="290">
                  <c:v>317.83730567707096</c:v>
                </c:pt>
                <c:pt idx="291">
                  <c:v>#N/A</c:v>
                </c:pt>
                <c:pt idx="292">
                  <c:v>#N/A</c:v>
                </c:pt>
                <c:pt idx="293">
                  <c:v>#N/A</c:v>
                </c:pt>
                <c:pt idx="294">
                  <c:v>#N/A</c:v>
                </c:pt>
                <c:pt idx="295">
                  <c:v>#N/A</c:v>
                </c:pt>
                <c:pt idx="296">
                  <c:v>#N/A</c:v>
                </c:pt>
                <c:pt idx="297">
                  <c:v>#N/A</c:v>
                </c:pt>
                <c:pt idx="298">
                  <c:v>#N/A</c:v>
                </c:pt>
                <c:pt idx="299">
                  <c:v>#N/A</c:v>
                </c:pt>
                <c:pt idx="300">
                  <c:v>342.1552841727941</c:v>
                </c:pt>
                <c:pt idx="301">
                  <c:v>#N/A</c:v>
                </c:pt>
                <c:pt idx="302">
                  <c:v>#N/A</c:v>
                </c:pt>
                <c:pt idx="303">
                  <c:v>#N/A</c:v>
                </c:pt>
                <c:pt idx="304">
                  <c:v>#N/A</c:v>
                </c:pt>
                <c:pt idx="305">
                  <c:v>#N/A</c:v>
                </c:pt>
                <c:pt idx="306">
                  <c:v>#N/A</c:v>
                </c:pt>
                <c:pt idx="307">
                  <c:v>#N/A</c:v>
                </c:pt>
                <c:pt idx="308">
                  <c:v>#N/A</c:v>
                </c:pt>
                <c:pt idx="309">
                  <c:v>#N/A</c:v>
                </c:pt>
                <c:pt idx="310">
                  <c:v>366.01115029574453</c:v>
                </c:pt>
                <c:pt idx="311">
                  <c:v>#N/A</c:v>
                </c:pt>
                <c:pt idx="312">
                  <c:v>#N/A</c:v>
                </c:pt>
                <c:pt idx="313">
                  <c:v>#N/A</c:v>
                </c:pt>
                <c:pt idx="314">
                  <c:v>#N/A</c:v>
                </c:pt>
                <c:pt idx="315">
                  <c:v>#N/A</c:v>
                </c:pt>
                <c:pt idx="316">
                  <c:v>#N/A</c:v>
                </c:pt>
                <c:pt idx="317">
                  <c:v>#N/A</c:v>
                </c:pt>
                <c:pt idx="318">
                  <c:v>#N/A</c:v>
                </c:pt>
                <c:pt idx="319">
                  <c:v>#N/A</c:v>
                </c:pt>
                <c:pt idx="320">
                  <c:v>389.50202078844274</c:v>
                </c:pt>
                <c:pt idx="321">
                  <c:v>#N/A</c:v>
                </c:pt>
                <c:pt idx="322">
                  <c:v>#N/A</c:v>
                </c:pt>
                <c:pt idx="323">
                  <c:v>#N/A</c:v>
                </c:pt>
                <c:pt idx="324">
                  <c:v>#N/A</c:v>
                </c:pt>
                <c:pt idx="325">
                  <c:v>#N/A</c:v>
                </c:pt>
                <c:pt idx="326">
                  <c:v>#N/A</c:v>
                </c:pt>
                <c:pt idx="327">
                  <c:v>#N/A</c:v>
                </c:pt>
                <c:pt idx="328">
                  <c:v>#N/A</c:v>
                </c:pt>
                <c:pt idx="329">
                  <c:v>#N/A</c:v>
                </c:pt>
                <c:pt idx="330">
                  <c:v>412.70274806058006</c:v>
                </c:pt>
                <c:pt idx="331">
                  <c:v>#N/A</c:v>
                </c:pt>
                <c:pt idx="332">
                  <c:v>#N/A</c:v>
                </c:pt>
                <c:pt idx="333">
                  <c:v>#N/A</c:v>
                </c:pt>
                <c:pt idx="334">
                  <c:v>#N/A</c:v>
                </c:pt>
                <c:pt idx="335">
                  <c:v>#N/A</c:v>
                </c:pt>
                <c:pt idx="336">
                  <c:v>#N/A</c:v>
                </c:pt>
                <c:pt idx="337">
                  <c:v>#N/A</c:v>
                </c:pt>
                <c:pt idx="338">
                  <c:v>#N/A</c:v>
                </c:pt>
                <c:pt idx="339">
                  <c:v>#N/A</c:v>
                </c:pt>
                <c:pt idx="340">
                  <c:v>435.65765584829677</c:v>
                </c:pt>
                <c:pt idx="341">
                  <c:v>#N/A</c:v>
                </c:pt>
                <c:pt idx="342">
                  <c:v>#N/A</c:v>
                </c:pt>
                <c:pt idx="343">
                  <c:v>#N/A</c:v>
                </c:pt>
                <c:pt idx="344">
                  <c:v>#N/A</c:v>
                </c:pt>
                <c:pt idx="345">
                  <c:v>#N/A</c:v>
                </c:pt>
                <c:pt idx="346">
                  <c:v>#N/A</c:v>
                </c:pt>
                <c:pt idx="347">
                  <c:v>#N/A</c:v>
                </c:pt>
                <c:pt idx="348">
                  <c:v>#N/A</c:v>
                </c:pt>
                <c:pt idx="349">
                  <c:v>#N/A</c:v>
                </c:pt>
                <c:pt idx="350">
                  <c:v>458.3717491217065</c:v>
                </c:pt>
                <c:pt idx="351">
                  <c:v>#N/A</c:v>
                </c:pt>
                <c:pt idx="352">
                  <c:v>#N/A</c:v>
                </c:pt>
                <c:pt idx="353">
                  <c:v>#N/A</c:v>
                </c:pt>
                <c:pt idx="354">
                  <c:v>#N/A</c:v>
                </c:pt>
                <c:pt idx="355">
                  <c:v>#N/A</c:v>
                </c:pt>
                <c:pt idx="356">
                  <c:v>#N/A</c:v>
                </c:pt>
                <c:pt idx="357">
                  <c:v>#N/A</c:v>
                </c:pt>
                <c:pt idx="358">
                  <c:v>#N/A</c:v>
                </c:pt>
                <c:pt idx="359">
                  <c:v>#N/A</c:v>
                </c:pt>
                <c:pt idx="360">
                  <c:v>480.81305495462118</c:v>
                </c:pt>
                <c:pt idx="361">
                  <c:v>#N/A</c:v>
                </c:pt>
                <c:pt idx="362">
                  <c:v>#N/A</c:v>
                </c:pt>
                <c:pt idx="363">
                  <c:v>#N/A</c:v>
                </c:pt>
                <c:pt idx="364">
                  <c:v>#N/A</c:v>
                </c:pt>
                <c:pt idx="365">
                  <c:v>#N/A</c:v>
                </c:pt>
                <c:pt idx="366">
                  <c:v>#N/A</c:v>
                </c:pt>
                <c:pt idx="367">
                  <c:v>#N/A</c:v>
                </c:pt>
                <c:pt idx="368">
                  <c:v>#N/A</c:v>
                </c:pt>
                <c:pt idx="369">
                  <c:v>#N/A</c:v>
                </c:pt>
                <c:pt idx="370">
                  <c:v>502.92622199515517</c:v>
                </c:pt>
                <c:pt idx="371">
                  <c:v>#N/A</c:v>
                </c:pt>
                <c:pt idx="372">
                  <c:v>#N/A</c:v>
                </c:pt>
                <c:pt idx="373">
                  <c:v>#N/A</c:v>
                </c:pt>
                <c:pt idx="374">
                  <c:v>#N/A</c:v>
                </c:pt>
                <c:pt idx="375">
                  <c:v>#N/A</c:v>
                </c:pt>
                <c:pt idx="376">
                  <c:v>#N/A</c:v>
                </c:pt>
                <c:pt idx="377">
                  <c:v>#N/A</c:v>
                </c:pt>
                <c:pt idx="378">
                  <c:v>#N/A</c:v>
                </c:pt>
                <c:pt idx="379">
                  <c:v>#N/A</c:v>
                </c:pt>
                <c:pt idx="380">
                  <c:v>524.64571639849373</c:v>
                </c:pt>
                <c:pt idx="381">
                  <c:v>#N/A</c:v>
                </c:pt>
                <c:pt idx="382">
                  <c:v>#N/A</c:v>
                </c:pt>
                <c:pt idx="383">
                  <c:v>#N/A</c:v>
                </c:pt>
                <c:pt idx="384">
                  <c:v>#N/A</c:v>
                </c:pt>
                <c:pt idx="385">
                  <c:v>#N/A</c:v>
                </c:pt>
                <c:pt idx="386">
                  <c:v>#N/A</c:v>
                </c:pt>
                <c:pt idx="387">
                  <c:v>#N/A</c:v>
                </c:pt>
                <c:pt idx="388">
                  <c:v>#N/A</c:v>
                </c:pt>
                <c:pt idx="389">
                  <c:v>#N/A</c:v>
                </c:pt>
                <c:pt idx="390">
                  <c:v>545.90400551075186</c:v>
                </c:pt>
                <c:pt idx="391">
                  <c:v>#N/A</c:v>
                </c:pt>
                <c:pt idx="392">
                  <c:v>#N/A</c:v>
                </c:pt>
                <c:pt idx="393">
                  <c:v>#N/A</c:v>
                </c:pt>
                <c:pt idx="394">
                  <c:v>#N/A</c:v>
                </c:pt>
                <c:pt idx="395">
                  <c:v>#N/A</c:v>
                </c:pt>
                <c:pt idx="396">
                  <c:v>#N/A</c:v>
                </c:pt>
                <c:pt idx="397">
                  <c:v>#N/A</c:v>
                </c:pt>
                <c:pt idx="398">
                  <c:v>#N/A</c:v>
                </c:pt>
                <c:pt idx="399">
                  <c:v>#N/A</c:v>
                </c:pt>
                <c:pt idx="400">
                  <c:v>566.63617171552778</c:v>
                </c:pt>
                <c:pt idx="401">
                  <c:v>#N/A</c:v>
                </c:pt>
                <c:pt idx="402">
                  <c:v>#N/A</c:v>
                </c:pt>
                <c:pt idx="403">
                  <c:v>#N/A</c:v>
                </c:pt>
                <c:pt idx="404">
                  <c:v>#N/A</c:v>
                </c:pt>
                <c:pt idx="405">
                  <c:v>#N/A</c:v>
                </c:pt>
                <c:pt idx="406">
                  <c:v>#N/A</c:v>
                </c:pt>
                <c:pt idx="407">
                  <c:v>#N/A</c:v>
                </c:pt>
                <c:pt idx="408">
                  <c:v>#N/A</c:v>
                </c:pt>
                <c:pt idx="409">
                  <c:v>#N/A</c:v>
                </c:pt>
                <c:pt idx="410">
                  <c:v>586.7826051058837</c:v>
                </c:pt>
                <c:pt idx="411">
                  <c:v>#N/A</c:v>
                </c:pt>
                <c:pt idx="412">
                  <c:v>#N/A</c:v>
                </c:pt>
                <c:pt idx="413">
                  <c:v>#N/A</c:v>
                </c:pt>
                <c:pt idx="414">
                  <c:v>#N/A</c:v>
                </c:pt>
                <c:pt idx="415">
                  <c:v>#N/A</c:v>
                </c:pt>
                <c:pt idx="416">
                  <c:v>#N/A</c:v>
                </c:pt>
                <c:pt idx="417">
                  <c:v>#N/A</c:v>
                </c:pt>
                <c:pt idx="418">
                  <c:v>#N/A</c:v>
                </c:pt>
                <c:pt idx="419">
                  <c:v>#N/A</c:v>
                </c:pt>
                <c:pt idx="420">
                  <c:v>606.29062575251373</c:v>
                </c:pt>
                <c:pt idx="421">
                  <c:v>#N/A</c:v>
                </c:pt>
                <c:pt idx="422">
                  <c:v>#N/A</c:v>
                </c:pt>
                <c:pt idx="423">
                  <c:v>#N/A</c:v>
                </c:pt>
                <c:pt idx="424">
                  <c:v>#N/A</c:v>
                </c:pt>
                <c:pt idx="425">
                  <c:v>#N/A</c:v>
                </c:pt>
                <c:pt idx="426">
                  <c:v>#N/A</c:v>
                </c:pt>
                <c:pt idx="427">
                  <c:v>#N/A</c:v>
                </c:pt>
                <c:pt idx="428">
                  <c:v>#N/A</c:v>
                </c:pt>
                <c:pt idx="429">
                  <c:v>#N/A</c:v>
                </c:pt>
                <c:pt idx="430">
                  <c:v>625.11543108957676</c:v>
                </c:pt>
                <c:pt idx="431">
                  <c:v>#N/A</c:v>
                </c:pt>
                <c:pt idx="432">
                  <c:v>#N/A</c:v>
                </c:pt>
                <c:pt idx="433">
                  <c:v>#N/A</c:v>
                </c:pt>
                <c:pt idx="434">
                  <c:v>#N/A</c:v>
                </c:pt>
                <c:pt idx="435">
                  <c:v>#N/A</c:v>
                </c:pt>
                <c:pt idx="436">
                  <c:v>#N/A</c:v>
                </c:pt>
                <c:pt idx="437">
                  <c:v>#N/A</c:v>
                </c:pt>
                <c:pt idx="438">
                  <c:v>#N/A</c:v>
                </c:pt>
                <c:pt idx="439">
                  <c:v>#N/A</c:v>
                </c:pt>
                <c:pt idx="440">
                  <c:v>643.22056587468785</c:v>
                </c:pt>
                <c:pt idx="441">
                  <c:v>#N/A</c:v>
                </c:pt>
                <c:pt idx="442">
                  <c:v>#N/A</c:v>
                </c:pt>
                <c:pt idx="443">
                  <c:v>#N/A</c:v>
                </c:pt>
                <c:pt idx="444">
                  <c:v>#N/A</c:v>
                </c:pt>
                <c:pt idx="445">
                  <c:v>#N/A</c:v>
                </c:pt>
                <c:pt idx="446">
                  <c:v>#N/A</c:v>
                </c:pt>
                <c:pt idx="447">
                  <c:v>#N/A</c:v>
                </c:pt>
                <c:pt idx="448">
                  <c:v>#N/A</c:v>
                </c:pt>
                <c:pt idx="449">
                  <c:v>#N/A</c:v>
                </c:pt>
                <c:pt idx="450">
                  <c:v>660.5780295909376</c:v>
                </c:pt>
                <c:pt idx="451">
                  <c:v>#N/A</c:v>
                </c:pt>
                <c:pt idx="452">
                  <c:v>#N/A</c:v>
                </c:pt>
                <c:pt idx="453">
                  <c:v>#N/A</c:v>
                </c:pt>
                <c:pt idx="454">
                  <c:v>#N/A</c:v>
                </c:pt>
                <c:pt idx="455">
                  <c:v>#N/A</c:v>
                </c:pt>
                <c:pt idx="456">
                  <c:v>#N/A</c:v>
                </c:pt>
                <c:pt idx="457">
                  <c:v>#N/A</c:v>
                </c:pt>
                <c:pt idx="458">
                  <c:v>#N/A</c:v>
                </c:pt>
                <c:pt idx="459">
                  <c:v>#N/A</c:v>
                </c:pt>
                <c:pt idx="460">
                  <c:v>677.16810119472018</c:v>
                </c:pt>
                <c:pt idx="461">
                  <c:v>#N/A</c:v>
                </c:pt>
                <c:pt idx="462">
                  <c:v>#N/A</c:v>
                </c:pt>
                <c:pt idx="463">
                  <c:v>#N/A</c:v>
                </c:pt>
                <c:pt idx="464">
                  <c:v>#N/A</c:v>
                </c:pt>
                <c:pt idx="465">
                  <c:v>#N/A</c:v>
                </c:pt>
                <c:pt idx="466">
                  <c:v>#N/A</c:v>
                </c:pt>
                <c:pt idx="467">
                  <c:v>#N/A</c:v>
                </c:pt>
                <c:pt idx="468">
                  <c:v>#N/A</c:v>
                </c:pt>
                <c:pt idx="469">
                  <c:v>#N/A</c:v>
                </c:pt>
                <c:pt idx="470">
                  <c:v>692.97894529008192</c:v>
                </c:pt>
                <c:pt idx="471">
                  <c:v>#N/A</c:v>
                </c:pt>
                <c:pt idx="472">
                  <c:v>#N/A</c:v>
                </c:pt>
                <c:pt idx="473">
                  <c:v>#N/A</c:v>
                </c:pt>
                <c:pt idx="474">
                  <c:v>#N/A</c:v>
                </c:pt>
                <c:pt idx="475">
                  <c:v>#N/A</c:v>
                </c:pt>
                <c:pt idx="476">
                  <c:v>#N/A</c:v>
                </c:pt>
                <c:pt idx="477">
                  <c:v>#N/A</c:v>
                </c:pt>
                <c:pt idx="478">
                  <c:v>#N/A</c:v>
                </c:pt>
                <c:pt idx="479">
                  <c:v>#N/A</c:v>
                </c:pt>
                <c:pt idx="480">
                  <c:v>708.00605524129742</c:v>
                </c:pt>
                <c:pt idx="481">
                  <c:v>#N/A</c:v>
                </c:pt>
                <c:pt idx="482">
                  <c:v>#N/A</c:v>
                </c:pt>
                <c:pt idx="483">
                  <c:v>#N/A</c:v>
                </c:pt>
                <c:pt idx="484">
                  <c:v>#N/A</c:v>
                </c:pt>
                <c:pt idx="485">
                  <c:v>#N/A</c:v>
                </c:pt>
                <c:pt idx="486">
                  <c:v>#N/A</c:v>
                </c:pt>
                <c:pt idx="487">
                  <c:v>#N/A</c:v>
                </c:pt>
                <c:pt idx="488">
                  <c:v>#N/A</c:v>
                </c:pt>
                <c:pt idx="489">
                  <c:v>#N/A</c:v>
                </c:pt>
                <c:pt idx="490">
                  <c:v>722.25158247113416</c:v>
                </c:pt>
                <c:pt idx="491">
                  <c:v>#N/A</c:v>
                </c:pt>
                <c:pt idx="492">
                  <c:v>#N/A</c:v>
                </c:pt>
                <c:pt idx="493">
                  <c:v>#N/A</c:v>
                </c:pt>
                <c:pt idx="494">
                  <c:v>#N/A</c:v>
                </c:pt>
                <c:pt idx="495">
                  <c:v>#N/A</c:v>
                </c:pt>
                <c:pt idx="496">
                  <c:v>#N/A</c:v>
                </c:pt>
                <c:pt idx="497">
                  <c:v>#N/A</c:v>
                </c:pt>
                <c:pt idx="498">
                  <c:v>#N/A</c:v>
                </c:pt>
                <c:pt idx="499">
                  <c:v>#N/A</c:v>
                </c:pt>
                <c:pt idx="500">
                  <c:v>735.7235952954245</c:v>
                </c:pt>
                <c:pt idx="501">
                  <c:v>#N/A</c:v>
                </c:pt>
                <c:pt idx="502">
                  <c:v>#N/A</c:v>
                </c:pt>
                <c:pt idx="503">
                  <c:v>#N/A</c:v>
                </c:pt>
                <c:pt idx="504">
                  <c:v>#N/A</c:v>
                </c:pt>
                <c:pt idx="505">
                  <c:v>#N/A</c:v>
                </c:pt>
                <c:pt idx="506">
                  <c:v>#N/A</c:v>
                </c:pt>
                <c:pt idx="507">
                  <c:v>#N/A</c:v>
                </c:pt>
                <c:pt idx="508">
                  <c:v>#N/A</c:v>
                </c:pt>
                <c:pt idx="509">
                  <c:v>#N/A</c:v>
                </c:pt>
                <c:pt idx="510">
                  <c:v>748.43530452506832</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8.772253913530354E-4</c:v>
                </c:pt>
                <c:pt idx="2">
                  <c:v>7.2754367754342382E-3</c:v>
                </c:pt>
                <c:pt idx="3">
                  <c:v>2.5256519899900413E-2</c:v>
                </c:pt>
                <c:pt idx="4">
                  <c:v>5.6876016719973263E-2</c:v>
                </c:pt>
                <c:pt idx="5">
                  <c:v>0.10165371660956621</c:v>
                </c:pt>
                <c:pt idx="6">
                  <c:v>0.15925498526388057</c:v>
                </c:pt>
                <c:pt idx="7">
                  <c:v>0.22963793125601001</c:v>
                </c:pt>
                <c:pt idx="8">
                  <c:v>0.31290726322928986</c:v>
                </c:pt>
                <c:pt idx="9">
                  <c:v>0.40916774272854622</c:v>
                </c:pt>
                <c:pt idx="10">
                  <c:v>0.51852418208563844</c:v>
                </c:pt>
                <c:pt idx="11">
                  <c:v>0.64106621127563668</c:v>
                </c:pt>
                <c:pt idx="12">
                  <c:v>0.77685300300344962</c:v>
                </c:pt>
                <c:pt idx="13">
                  <c:v>0.92592843999032071</c:v>
                </c:pt>
                <c:pt idx="14">
                  <c:v>1.0883363243303719</c:v>
                </c:pt>
                <c:pt idx="15">
                  <c:v>1.264120375956824</c:v>
                </c:pt>
                <c:pt idx="16">
                  <c:v>1.4533242311033399</c:v>
                </c:pt>
                <c:pt idx="17">
                  <c:v>1.6559914407606002</c:v>
                </c:pt>
                <c:pt idx="18">
                  <c:v>1.8721654691282292</c:v>
                </c:pt>
                <c:pt idx="19">
                  <c:v>2.1018896920621857</c:v>
                </c:pt>
                <c:pt idx="20">
                  <c:v>2.3452073955177375</c:v>
                </c:pt>
                <c:pt idx="21">
                  <c:v>2.602155659767575</c:v>
                </c:pt>
                <c:pt idx="22">
                  <c:v>2.8727592271988414</c:v>
                </c:pt>
                <c:pt idx="23">
                  <c:v>3.1570365913001366</c:v>
                </c:pt>
                <c:pt idx="24">
                  <c:v>3.4550061023868048</c:v>
                </c:pt>
                <c:pt idx="25">
                  <c:v>3.7666859666786143</c:v>
                </c:pt>
                <c:pt idx="26">
                  <c:v>4.0920942453824569</c:v>
                </c:pt>
                <c:pt idx="27">
                  <c:v>4.4312340525029876</c:v>
                </c:pt>
                <c:pt idx="28">
                  <c:v>4.7841077362197328</c:v>
                </c:pt>
                <c:pt idx="29">
                  <c:v>5.1507316874083733</c:v>
                </c:pt>
                <c:pt idx="30">
                  <c:v>5.531122174472225</c:v>
                </c:pt>
                <c:pt idx="31">
                  <c:v>5.9252953511364588</c:v>
                </c:pt>
                <c:pt idx="32">
                  <c:v>6.3332672533163876</c:v>
                </c:pt>
                <c:pt idx="33">
                  <c:v>6.7550537962080375</c:v>
                </c:pt>
                <c:pt idx="34">
                  <c:v>7.1906707715740588</c:v>
                </c:pt>
                <c:pt idx="35">
                  <c:v>7.6401338452021657</c:v>
                </c:pt>
                <c:pt idx="36">
                  <c:v>8.1034585545166511</c:v>
                </c:pt>
                <c:pt idx="37">
                  <c:v>8.5806603063263491</c:v>
                </c:pt>
                <c:pt idx="38">
                  <c:v>9.0717543746947129</c:v>
                </c:pt>
                <c:pt idx="39">
                  <c:v>9.5767558989196608</c:v>
                </c:pt>
                <c:pt idx="40">
                  <c:v>10.095679881612455</c:v>
                </c:pt>
                <c:pt idx="41">
                  <c:v>10.628536427681617</c:v>
                </c:pt>
                <c:pt idx="42">
                  <c:v>11.175325972355473</c:v>
                </c:pt>
                <c:pt idx="43">
                  <c:v>11.736044023400133</c:v>
                </c:pt>
                <c:pt idx="44">
                  <c:v>12.310685914743388</c:v>
                </c:pt>
                <c:pt idx="45">
                  <c:v>12.899246805525491</c:v>
                </c:pt>
                <c:pt idx="46">
                  <c:v>13.501721679218752</c:v>
                </c:pt>
                <c:pt idx="47">
                  <c:v>14.118105342810834</c:v>
                </c:pt>
                <c:pt idx="48">
                  <c:v>14.748392426047207</c:v>
                </c:pt>
                <c:pt idx="49">
                  <c:v>15.392577380728719</c:v>
                </c:pt>
                <c:pt idx="50">
                  <c:v>16.050654480060643</c:v>
                </c:pt>
                <c:pt idx="51">
                  <c:v>16.722617818049983</c:v>
                </c:pt>
                <c:pt idx="52">
                  <c:v>17.408461308948098</c:v>
                </c:pt>
                <c:pt idx="53">
                  <c:v>18.108178686736036</c:v>
                </c:pt>
                <c:pt idx="54">
                  <c:v>18.8217635046502</c:v>
                </c:pt>
                <c:pt idx="55">
                  <c:v>19.549209134746221</c:v>
                </c:pt>
                <c:pt idx="56">
                  <c:v>20.290508767499063</c:v>
                </c:pt>
                <c:pt idx="57">
                  <c:v>21.045655411437622</c:v>
                </c:pt>
                <c:pt idx="58">
                  <c:v>21.814641892812219</c:v>
                </c:pt>
                <c:pt idx="59">
                  <c:v>22.597460855293495</c:v>
                </c:pt>
                <c:pt idx="60">
                  <c:v>23.394104759701406</c:v>
                </c:pt>
                <c:pt idx="61">
                  <c:v>24.204565883763053</c:v>
                </c:pt>
                <c:pt idx="62">
                  <c:v>25.028836321898275</c:v>
                </c:pt>
                <c:pt idx="63">
                  <c:v>25.866907985031929</c:v>
                </c:pt>
                <c:pt idx="64">
                  <c:v>26.71877260043194</c:v>
                </c:pt>
                <c:pt idx="65">
                  <c:v>27.584421711572233</c:v>
                </c:pt>
                <c:pt idx="66">
                  <c:v>28.463846678019735</c:v>
                </c:pt>
                <c:pt idx="67">
                  <c:v>29.357038675344725</c:v>
                </c:pt>
                <c:pt idx="68">
                  <c:v>30.263988695053818</c:v>
                </c:pt>
                <c:pt idx="69">
                  <c:v>31.18468754454495</c:v>
                </c:pt>
                <c:pt idx="70">
                  <c:v>32.119125847083765</c:v>
                </c:pt>
                <c:pt idx="71">
                  <c:v>33.067294041800871</c:v>
                </c:pt>
                <c:pt idx="72">
                  <c:v>34.02918238370939</c:v>
                </c:pt>
                <c:pt idx="73">
                  <c:v>35.004780943742425</c:v>
                </c:pt>
                <c:pt idx="74">
                  <c:v>35.994079608809855</c:v>
                </c:pt>
                <c:pt idx="75">
                  <c:v>36.997068081874161</c:v>
                </c:pt>
                <c:pt idx="76">
                  <c:v>38.013735882044799</c:v>
                </c:pt>
                <c:pt idx="77">
                  <c:v>39.044072344690811</c:v>
                </c:pt>
                <c:pt idx="78">
                  <c:v>40.088066621571258</c:v>
                </c:pt>
                <c:pt idx="79">
                  <c:v>41.1457076809832</c:v>
                </c:pt>
                <c:pt idx="80">
                  <c:v>42.216984307926872</c:v>
                </c:pt>
                <c:pt idx="81">
                  <c:v>43.301880264336113</c:v>
                </c:pt>
                <c:pt idx="82">
                  <c:v>44.400369440399622</c:v>
                </c:pt>
                <c:pt idx="83">
                  <c:v>45.51242068417173</c:v>
                </c:pt>
                <c:pt idx="84">
                  <c:v>46.638002640537323</c:v>
                </c:pt>
                <c:pt idx="85">
                  <c:v>47.777083752284568</c:v>
                </c:pt>
                <c:pt idx="86">
                  <c:v>48.92963226119516</c:v>
                </c:pt>
                <c:pt idx="87">
                  <c:v>50.095616209151714</c:v>
                </c:pt>
                <c:pt idx="88">
                  <c:v>51.275003439261987</c:v>
                </c:pt>
                <c:pt idx="89">
                  <c:v>52.467761596999388</c:v>
                </c:pt>
                <c:pt idx="90">
                  <c:v>53.673858131359609</c:v>
                </c:pt>
                <c:pt idx="91">
                  <c:v>54.893258156395945</c:v>
                </c:pt>
                <c:pt idx="92">
                  <c:v>56.125922309201115</c:v>
                </c:pt>
                <c:pt idx="93">
                  <c:v>57.37180888681921</c:v>
                </c:pt>
                <c:pt idx="94">
                  <c:v>58.630875986941582</c:v>
                </c:pt>
                <c:pt idx="95">
                  <c:v>59.903081509539369</c:v>
                </c:pt>
                <c:pt idx="96">
                  <c:v>61.188383158509829</c:v>
                </c:pt>
                <c:pt idx="97">
                  <c:v>62.486738443336158</c:v>
                </c:pt>
                <c:pt idx="98">
                  <c:v>63.798104680760403</c:v>
                </c:pt>
                <c:pt idx="99">
                  <c:v>65.122438996469057</c:v>
                </c:pt>
                <c:pt idx="100">
                  <c:v>66.459698326791056</c:v>
                </c:pt>
                <c:pt idx="101">
                  <c:v>67.809839077977514</c:v>
                </c:pt>
                <c:pt idx="102">
                  <c:v>69.172816784987262</c:v>
                </c:pt>
                <c:pt idx="103">
                  <c:v>70.54858645514517</c:v>
                </c:pt>
                <c:pt idx="104">
                  <c:v>71.93710291235017</c:v>
                </c:pt>
                <c:pt idx="105">
                  <c:v>73.338320798895296</c:v>
                </c:pt>
                <c:pt idx="106">
                  <c:v>74.752194577297999</c:v>
                </c:pt>
                <c:pt idx="107">
                  <c:v>76.178678532140111</c:v>
                </c:pt>
                <c:pt idx="108">
                  <c:v>77.617726771917361</c:v>
                </c:pt>
                <c:pt idx="109">
                  <c:v>79.069293230897998</c:v>
                </c:pt>
                <c:pt idx="110">
                  <c:v>80.533331670990165</c:v>
                </c:pt>
                <c:pt idx="111">
                  <c:v>82.009799628496125</c:v>
                </c:pt>
                <c:pt idx="112">
                  <c:v>83.49866236595993</c:v>
                </c:pt>
                <c:pt idx="113">
                  <c:v>84.999888933611786</c:v>
                </c:pt>
                <c:pt idx="114">
                  <c:v>86.513448225377232</c:v>
                </c:pt>
                <c:pt idx="115">
                  <c:v>88.039308980069563</c:v>
                </c:pt>
                <c:pt idx="116">
                  <c:v>89.577439782590886</c:v>
                </c:pt>
                <c:pt idx="117">
                  <c:v>91.127809065141633</c:v>
                </c:pt>
                <c:pt idx="118">
                  <c:v>92.690385108438264</c:v>
                </c:pt>
                <c:pt idx="119">
                  <c:v>94.265136042939091</c:v>
                </c:pt>
                <c:pt idx="120">
                  <c:v>95.852029850077955</c:v>
                </c:pt>
                <c:pt idx="121">
                  <c:v>97.451027816669367</c:v>
                </c:pt>
                <c:pt idx="122">
                  <c:v>99.062077981943247</c:v>
                </c:pt>
                <c:pt idx="123">
                  <c:v>100.68512168035352</c:v>
                </c:pt>
                <c:pt idx="124">
                  <c:v>102.3201000923803</c:v>
                </c:pt>
                <c:pt idx="125">
                  <c:v>103.96695424701494</c:v>
                </c:pt>
                <c:pt idx="126">
                  <c:v>105.62562502424719</c:v>
                </c:pt>
                <c:pt idx="127">
                  <c:v>107.29605315755407</c:v>
                </c:pt>
                <c:pt idx="128">
                  <c:v>108.97817923639029</c:v>
                </c:pt>
                <c:pt idx="129">
                  <c:v>110.67194370867954</c:v>
                </c:pt>
                <c:pt idx="130">
                  <c:v>112.37728688330651</c:v>
                </c:pt>
                <c:pt idx="131">
                  <c:v>114.09414721764742</c:v>
                </c:pt>
                <c:pt idx="132">
                  <c:v>115.82245960354244</c:v>
                </c:pt>
                <c:pt idx="133">
                  <c:v>117.56215708405546</c:v>
                </c:pt>
                <c:pt idx="134">
                  <c:v>119.31317257196277</c:v>
                </c:pt>
                <c:pt idx="135">
                  <c:v>121.07543885258555</c:v>
                </c:pt>
                <c:pt idx="136">
                  <c:v>122.84888858661861</c:v>
                </c:pt>
                <c:pt idx="137">
                  <c:v>124.63345431295531</c:v>
                </c:pt>
                <c:pt idx="138">
                  <c:v>126.42906845150793</c:v>
                </c:pt>
                <c:pt idx="139">
                  <c:v>128.23566330602353</c:v>
                </c:pt>
                <c:pt idx="140">
                  <c:v>130.05317106689444</c:v>
                </c:pt>
                <c:pt idx="141">
                  <c:v>131.88150329728774</c:v>
                </c:pt>
                <c:pt idx="142">
                  <c:v>133.72053040559149</c:v>
                </c:pt>
                <c:pt idx="143">
                  <c:v>135.57010216572837</c:v>
                </c:pt>
                <c:pt idx="144">
                  <c:v>137.43006825365975</c:v>
                </c:pt>
                <c:pt idx="145">
                  <c:v>139.30027825517917</c:v>
                </c:pt>
                <c:pt idx="146">
                  <c:v>141.18058167364725</c:v>
                </c:pt>
                <c:pt idx="147">
                  <c:v>143.07082793766736</c:v>
                </c:pt>
                <c:pt idx="148">
                  <c:v>144.97086640870035</c:v>
                </c:pt>
                <c:pt idx="149">
                  <c:v>146.88054638861755</c:v>
                </c:pt>
                <c:pt idx="150">
                  <c:v>148.79971712719083</c:v>
                </c:pt>
                <c:pt idx="151">
                  <c:v>150.72822782951872</c:v>
                </c:pt>
                <c:pt idx="152">
                  <c:v>152.66592766338741</c:v>
                </c:pt>
                <c:pt idx="153">
                  <c:v>154.61266576656575</c:v>
                </c:pt>
                <c:pt idx="154">
                  <c:v>156.56829125403337</c:v>
                </c:pt>
                <c:pt idx="155">
                  <c:v>158.53265322514068</c:v>
                </c:pt>
                <c:pt idx="156">
                  <c:v>160.50550353814256</c:v>
                </c:pt>
                <c:pt idx="157">
                  <c:v>162.48639958495508</c:v>
                </c:pt>
                <c:pt idx="158">
                  <c:v>164.47480164958151</c:v>
                </c:pt>
                <c:pt idx="159">
                  <c:v>166.47017029015527</c:v>
                </c:pt>
                <c:pt idx="160">
                  <c:v>168.47196639327146</c:v>
                </c:pt>
                <c:pt idx="161">
                  <c:v>170.47952759311173</c:v>
                </c:pt>
                <c:pt idx="162">
                  <c:v>172.49194478448419</c:v>
                </c:pt>
                <c:pt idx="163">
                  <c:v>174.50819791169513</c:v>
                </c:pt>
                <c:pt idx="164">
                  <c:v>176.52729170632691</c:v>
                </c:pt>
                <c:pt idx="165">
                  <c:v>178.54836213411519</c:v>
                </c:pt>
                <c:pt idx="166">
                  <c:v>180.57078266122147</c:v>
                </c:pt>
                <c:pt idx="167">
                  <c:v>182.59395606140745</c:v>
                </c:pt>
                <c:pt idx="168">
                  <c:v>184.61717147437133</c:v>
                </c:pt>
                <c:pt idx="169">
                  <c:v>186.63950902419984</c:v>
                </c:pt>
                <c:pt idx="170">
                  <c:v>188.65980967269536</c:v>
                </c:pt>
                <c:pt idx="171">
                  <c:v>190.67726287924197</c:v>
                </c:pt>
                <c:pt idx="172">
                  <c:v>192.69166813392965</c:v>
                </c:pt>
                <c:pt idx="173">
                  <c:v>194.7030320533828</c:v>
                </c:pt>
                <c:pt idx="174">
                  <c:v>196.71136122821548</c:v>
                </c:pt>
                <c:pt idx="175">
                  <c:v>198.71666222316696</c:v>
                </c:pt>
                <c:pt idx="176">
                  <c:v>200.71894157723634</c:v>
                </c:pt>
                <c:pt idx="177">
                  <c:v>202.71820580381623</c:v>
                </c:pt>
                <c:pt idx="178">
                  <c:v>204.71446139082576</c:v>
                </c:pt>
                <c:pt idx="179">
                  <c:v>206.70771480084247</c:v>
                </c:pt>
                <c:pt idx="180">
                  <c:v>208.6979724712335</c:v>
                </c:pt>
                <c:pt idx="181">
                  <c:v>210.68524081428581</c:v>
                </c:pt>
                <c:pt idx="182">
                  <c:v>212.66952621733566</c:v>
                </c:pt>
                <c:pt idx="183">
                  <c:v>214.65083504289723</c:v>
                </c:pt>
                <c:pt idx="184">
                  <c:v>216.62917362879031</c:v>
                </c:pt>
                <c:pt idx="185">
                  <c:v>218.60454828826724</c:v>
                </c:pt>
                <c:pt idx="186">
                  <c:v>220.57696531013903</c:v>
                </c:pt>
                <c:pt idx="187">
                  <c:v>222.5464309589006</c:v>
                </c:pt>
                <c:pt idx="188">
                  <c:v>224.51295147485527</c:v>
                </c:pt>
                <c:pt idx="189">
                  <c:v>226.47653307423849</c:v>
                </c:pt>
                <c:pt idx="190">
                  <c:v>228.43718194934061</c:v>
                </c:pt>
                <c:pt idx="191">
                  <c:v>230.39490426862901</c:v>
                </c:pt>
                <c:pt idx="192">
                  <c:v>232.34970617686935</c:v>
                </c:pt>
                <c:pt idx="193">
                  <c:v>234.30159379524619</c:v>
                </c:pt>
                <c:pt idx="194">
                  <c:v>236.2505732214826</c:v>
                </c:pt>
                <c:pt idx="195">
                  <c:v>238.19665052995919</c:v>
                </c:pt>
                <c:pt idx="196">
                  <c:v>240.13983177183235</c:v>
                </c:pt>
                <c:pt idx="197">
                  <c:v>242.08012297515162</c:v>
                </c:pt>
                <c:pt idx="198">
                  <c:v>244.01753014497649</c:v>
                </c:pt>
                <c:pt idx="199">
                  <c:v>245.95205926349229</c:v>
                </c:pt>
                <c:pt idx="200">
                  <c:v>247.88371629012539</c:v>
                </c:pt>
                <c:pt idx="201">
                  <c:v>267.04278134940603</c:v>
                </c:pt>
                <c:pt idx="202">
                  <c:v>285.91845415997216</c:v>
                </c:pt>
                <c:pt idx="203">
                  <c:v>304.51647953994552</c:v>
                </c:pt>
                <c:pt idx="204">
                  <c:v>322.84238932557327</c:v>
                </c:pt>
                <c:pt idx="205">
                  <c:v>340.90151270487166</c:v>
                </c:pt>
                <c:pt idx="206">
                  <c:v>358.69898592371345</c:v>
                </c:pt>
                <c:pt idx="207">
                  <c:v>376.23976140975299</c:v>
                </c:pt>
                <c:pt idx="208">
                  <c:v>393.52861635578302</c:v>
                </c:pt>
                <c:pt idx="209">
                  <c:v>410.57016080067353</c:v>
                </c:pt>
                <c:pt idx="210">
                  <c:v>427.36884524292645</c:v>
                </c:pt>
                <c:pt idx="211">
                  <c:v>443.92896781904818</c:v>
                </c:pt>
                <c:pt idx="212">
                  <c:v>460.25468107637266</c:v>
                </c:pt>
                <c:pt idx="213">
                  <c:v>476.34999836762898</c:v>
                </c:pt>
                <c:pt idx="214">
                  <c:v>492.21879989241813</c:v>
                </c:pt>
                <c:pt idx="215">
                  <c:v>507.86483840882357</c:v>
                </c:pt>
                <c:pt idx="216">
                  <c:v>523.29174463660877</c:v>
                </c:pt>
                <c:pt idx="217">
                  <c:v>538.50303237183709</c:v>
                </c:pt>
                <c:pt idx="218">
                  <c:v>553.50210333127029</c:v>
                </c:pt>
                <c:pt idx="219">
                  <c:v>568.2922517435461</c:v>
                </c:pt>
                <c:pt idx="220">
                  <c:v>582.87666870289729</c:v>
                </c:pt>
                <c:pt idx="221">
                  <c:v>597.25844630003314</c:v>
                </c:pt>
                <c:pt idx="222">
                  <c:v>611.4405815437608</c:v>
                </c:pt>
                <c:pt idx="223">
                  <c:v>625.42598008596508</c:v>
                </c:pt>
                <c:pt idx="224">
                  <c:v>639.21745976167858</c:v>
                </c:pt>
                <c:pt idx="225">
                  <c:v>652.8177539551649</c:v>
                </c:pt>
                <c:pt idx="226">
                  <c:v>666.22951480218603</c:v>
                </c:pt>
                <c:pt idx="227">
                  <c:v>679.45531623793465</c:v>
                </c:pt>
                <c:pt idx="228">
                  <c:v>692.49765689947606</c:v>
                </c:pt>
                <c:pt idx="229">
                  <c:v>705.35896289095297</c:v>
                </c:pt>
                <c:pt idx="230">
                  <c:v>718.04159041926459</c:v>
                </c:pt>
                <c:pt idx="231">
                  <c:v>730.54782830742647</c:v>
                </c:pt>
                <c:pt idx="232">
                  <c:v>742.87990039235069</c:v>
                </c:pt>
                <c:pt idx="233">
                  <c:v>755.03996781335661</c:v>
                </c:pt>
                <c:pt idx="234">
                  <c:v>767.03013119731804</c:v>
                </c:pt>
                <c:pt idx="235">
                  <c:v>778.8524327459844</c:v>
                </c:pt>
                <c:pt idx="236">
                  <c:v>790.50885823066665</c:v>
                </c:pt>
                <c:pt idx="237">
                  <c:v>802.00133889915753</c:v>
                </c:pt>
                <c:pt idx="238">
                  <c:v>813.33175329945948</c:v>
                </c:pt>
                <c:pt idx="239">
                  <c:v>824.50192902461379</c:v>
                </c:pt>
                <c:pt idx="240">
                  <c:v>835.5136443826683</c:v>
                </c:pt>
                <c:pt idx="241">
                  <c:v>846.36862999557832</c:v>
                </c:pt>
                <c:pt idx="242">
                  <c:v>857.06857033061294</c:v>
                </c:pt>
                <c:pt idx="243">
                  <c:v>867.61510516762803</c:v>
                </c:pt>
                <c:pt idx="244">
                  <c:v>878.00983100537269</c:v>
                </c:pt>
                <c:pt idx="245">
                  <c:v>888.2543024098137</c:v>
                </c:pt>
                <c:pt idx="246">
                  <c:v>898.35003330729091</c:v>
                </c:pt>
                <c:pt idx="247">
                  <c:v>908.29849822515826</c:v>
                </c:pt>
                <c:pt idx="248">
                  <c:v>918.10113348241475</c:v>
                </c:pt>
                <c:pt idx="249">
                  <c:v>927.75933833269187</c:v>
                </c:pt>
                <c:pt idx="250">
                  <c:v>937.27447606183057</c:v>
                </c:pt>
                <c:pt idx="251">
                  <c:v>946.64787504216099</c:v>
                </c:pt>
                <c:pt idx="252">
                  <c:v>955.88082974548161</c:v>
                </c:pt>
                <c:pt idx="253">
                  <c:v>964.97460171662726</c:v>
                </c:pt>
                <c:pt idx="254">
                  <c:v>973.93042050941381</c:v>
                </c:pt>
                <c:pt idx="255">
                  <c:v>982.74948458665347</c:v>
                </c:pt>
                <c:pt idx="256">
                  <c:v>991.43296218584396</c:v>
                </c:pt>
                <c:pt idx="257">
                  <c:v>999.98199215205238</c:v>
                </c:pt>
                <c:pt idx="258">
                  <c:v>1008.3976847394348</c:v>
                </c:pt>
                <c:pt idx="259">
                  <c:v>1016.6811223827584</c:v>
                </c:pt>
                <c:pt idx="260">
                  <c:v>1024.8333604402246</c:v>
                </c:pt>
                <c:pt idx="261">
                  <c:v>1032.8554279088239</c:v>
                </c:pt>
                <c:pt idx="262">
                  <c:v>1040.7483281133927</c:v>
                </c:pt>
                <c:pt idx="263">
                  <c:v>1048.5130393704849</c:v>
                </c:pt>
                <c:pt idx="264">
                  <c:v>1056.1505156281125</c:v>
                </c:pt>
                <c:pt idx="265">
                  <c:v>1063.6616870823639</c:v>
                </c:pt>
                <c:pt idx="266">
                  <c:v>1071.0474607718515</c:v>
                </c:pt>
                <c:pt idx="267">
                  <c:v>1078.3087211509057</c:v>
                </c:pt>
                <c:pt idx="268">
                  <c:v>1085.4463306423743</c:v>
                </c:pt>
                <c:pt idx="269">
                  <c:v>1092.461130170861</c:v>
                </c:pt>
                <c:pt idx="270">
                  <c:v>1099.3539396771851</c:v>
                </c:pt>
                <c:pt idx="271">
                  <c:v>1106.125558614817</c:v>
                </c:pt>
                <c:pt idx="272">
                  <c:v>1112.7767664290061</c:v>
                </c:pt>
                <c:pt idx="273">
                  <c:v>1119.3083230192838</c:v>
                </c:pt>
                <c:pt idx="274">
                  <c:v>1125.7209691859989</c:v>
                </c:pt>
                <c:pt idx="275">
                  <c:v>1132.0154270615096</c:v>
                </c:pt>
                <c:pt idx="276">
                  <c:v>1138.1924005266312</c:v>
                </c:pt>
                <c:pt idx="277">
                  <c:v>1144.2525756129128</c:v>
                </c:pt>
                <c:pt idx="278">
                  <c:v>1150.1966208912945</c:v>
                </c:pt>
                <c:pt idx="279">
                  <c:v>1156.0251878476702</c:v>
                </c:pt>
                <c:pt idx="280">
                  <c:v>1161.7389112458641</c:v>
                </c:pt>
                <c:pt idx="281">
                  <c:v>1167.3384094785101</c:v>
                </c:pt>
                <c:pt idx="282">
                  <c:v>1172.8242849062999</c:v>
                </c:pt>
                <c:pt idx="283">
                  <c:v>1178.1971241860556</c:v>
                </c:pt>
                <c:pt idx="284">
                  <c:v>1183.4574985880633</c:v>
                </c:pt>
                <c:pt idx="285">
                  <c:v>1188.6059643030919</c:v>
                </c:pt>
                <c:pt idx="286">
                  <c:v>1193.6430627395059</c:v>
                </c:pt>
                <c:pt idx="287">
                  <c:v>1198.5693208108753</c:v>
                </c:pt>
                <c:pt idx="288">
                  <c:v>1203.3852512144686</c:v>
                </c:pt>
                <c:pt idx="289">
                  <c:v>1208.0913527010125</c:v>
                </c:pt>
                <c:pt idx="290">
                  <c:v>1212.6881103360915</c:v>
                </c:pt>
                <c:pt idx="291">
                  <c:v>1217.1759957535551</c:v>
                </c:pt>
                <c:pt idx="292">
                  <c:v>1221.5554674012972</c:v>
                </c:pt>
                <c:pt idx="293">
                  <c:v>1225.826970779771</c:v>
                </c:pt>
                <c:pt idx="294">
                  <c:v>1229.9909386735987</c:v>
                </c:pt>
                <c:pt idx="295">
                  <c:v>1234.0477913766392</c:v>
                </c:pt>
                <c:pt idx="296">
                  <c:v>1237.9979369108812</c:v>
                </c:pt>
                <c:pt idx="297">
                  <c:v>1241.8417712395324</c:v>
                </c:pt>
                <c:pt idx="298">
                  <c:v>1245.579678474684</c:v>
                </c:pt>
                <c:pt idx="299">
                  <c:v>1249.2120310799421</c:v>
                </c:pt>
                <c:pt idx="300">
                  <c:v>1252.7391900684295</c:v>
                </c:pt>
                <c:pt idx="301">
                  <c:v>1256.1615051965794</c:v>
                </c:pt>
                <c:pt idx="302">
                  <c:v>1259.4793151541624</c:v>
                </c:pt>
                <c:pt idx="303">
                  <c:v>1262.6929477510121</c:v>
                </c:pt>
                <c:pt idx="304">
                  <c:v>1265.8027201009429</c:v>
                </c:pt>
                <c:pt idx="305">
                  <c:v>1268.8089388033895</c:v>
                </c:pt>
                <c:pt idx="306">
                  <c:v>1271.7119001233311</c:v>
                </c:pt>
                <c:pt idx="307">
                  <c:v>1274.5118901701101</c:v>
                </c:pt>
                <c:pt idx="308">
                  <c:v>1277.209185075804</c:v>
                </c:pt>
                <c:pt idx="309">
                  <c:v>1279.8040511738641</c:v>
                </c:pt>
                <c:pt idx="310">
                  <c:v>1282.2967451787956</c:v>
                </c:pt>
                <c:pt idx="311">
                  <c:v>1284.6875143677248</c:v>
                </c:pt>
                <c:pt idx="312">
                  <c:v>1286.9765967647702</c:v>
                </c:pt>
                <c:pt idx="313">
                  <c:v>1289.1642213292193</c:v>
                </c:pt>
                <c:pt idx="314">
                  <c:v>1291.2506081485956</c:v>
                </c:pt>
                <c:pt idx="315">
                  <c:v>1293.2359686377911</c:v>
                </c:pt>
                <c:pt idx="316">
                  <c:v>1295.1205057455368</c:v>
                </c:pt>
                <c:pt idx="317">
                  <c:v>1296.9044141695706</c:v>
                </c:pt>
                <c:pt idx="318">
                  <c:v>1298.5878805819525</c:v>
                </c:pt>
                <c:pt idx="319">
                  <c:v>1300.1710838660608</c:v>
                </c:pt>
                <c:pt idx="320">
                  <c:v>1301.6541953668641</c:v>
                </c:pt>
                <c:pt idx="321">
                  <c:v>1303.0373791561117</c:v>
                </c:pt>
                <c:pt idx="322">
                  <c:v>1304.3207923140974</c:v>
                </c:pt>
                <c:pt idx="323">
                  <c:v>1305.5045852296269</c:v>
                </c:pt>
                <c:pt idx="324">
                  <c:v>1306.5889019197398</c:v>
                </c:pt>
                <c:pt idx="325">
                  <c:v>1307.5738803706017</c:v>
                </c:pt>
                <c:pt idx="326">
                  <c:v>1308.4596529007677</c:v>
                </c:pt>
                <c:pt idx="327">
                  <c:v>1309.2463465477244</c:v>
                </c:pt>
                <c:pt idx="328">
                  <c:v>1309.9340834782438</c:v>
                </c:pt>
                <c:pt idx="329">
                  <c:v>1310.5229814226036</c:v>
                </c:pt>
                <c:pt idx="330">
                  <c:v>1311.0131541321896</c:v>
                </c:pt>
                <c:pt idx="331">
                  <c:v>1311.4047118593642</c:v>
                </c:pt>
                <c:pt idx="332">
                  <c:v>1311.6977618578248</c:v>
                </c:pt>
                <c:pt idx="333">
                  <c:v>1311.8924089009854</c:v>
                </c:pt>
                <c:pt idx="334">
                  <c:v>1311.9887558152445</c:v>
                </c:pt>
                <c:pt idx="335">
                  <c:v>1311.9869040243964</c:v>
                </c:pt>
                <c:pt idx="336">
                  <c:v>1311.886954100929</c:v>
                </c:pt>
                <c:pt idx="337">
                  <c:v>1311.6890063195806</c:v>
                </c:pt>
                <c:pt idx="338">
                  <c:v>1311.393161208317</c:v>
                </c:pt>
                <c:pt idx="339">
                  <c:v>1310.9995200918665</c:v>
                </c:pt>
                <c:pt idx="340">
                  <c:v>1310.5081856231081</c:v>
                </c:pt>
                <c:pt idx="341">
                  <c:v>1309.919262297936</c:v>
                </c:pt>
                <c:pt idx="342">
                  <c:v>1309.232856949704</c:v>
                </c:pt>
                <c:pt idx="343">
                  <c:v>1308.4490792199392</c:v>
                </c:pt>
                <c:pt idx="344">
                  <c:v>1307.5680420026738</c:v>
                </c:pt>
                <c:pt idx="345">
                  <c:v>1306.5898618604363</c:v>
                </c:pt>
                <c:pt idx="346">
                  <c:v>1305.5146594106218</c:v>
                </c:pt>
                <c:pt idx="347">
                  <c:v>1304.3425596816005</c:v>
                </c:pt>
                <c:pt idx="348">
                  <c:v>1303.0736924385008</c:v>
                </c:pt>
                <c:pt idx="349">
                  <c:v>1301.7081924790925</c:v>
                </c:pt>
                <c:pt idx="350">
                  <c:v>1300.2461999006039</c:v>
                </c:pt>
                <c:pt idx="351">
                  <c:v>1298.6878603386172</c:v>
                </c:pt>
                <c:pt idx="352">
                  <c:v>1297.0333251794216</c:v>
                </c:pt>
                <c:pt idx="353">
                  <c:v>1295.2827517473515</c:v>
                </c:pt>
                <c:pt idx="354">
                  <c:v>1293.4363034687274</c:v>
                </c:pt>
                <c:pt idx="355">
                  <c:v>1291.4941500140476</c:v>
                </c:pt>
                <c:pt idx="356">
                  <c:v>1289.4564674200701</c:v>
                </c:pt>
                <c:pt idx="357">
                  <c:v>1287.3234381933755</c:v>
                </c:pt>
                <c:pt idx="358">
                  <c:v>1285.0952513969353</c:v>
                </c:pt>
                <c:pt idx="359">
                  <c:v>1282.7721027211276</c:v>
                </c:pt>
                <c:pt idx="360">
                  <c:v>1280.3541945405409</c:v>
                </c:pt>
                <c:pt idx="361">
                  <c:v>1277.8417359578157</c:v>
                </c:pt>
                <c:pt idx="362">
                  <c:v>1275.2349428356647</c:v>
                </c:pt>
                <c:pt idx="363">
                  <c:v>1272.5340378181222</c:v>
                </c:pt>
                <c:pt idx="364">
                  <c:v>1269.7392503419733</c:v>
                </c:pt>
                <c:pt idx="365">
                  <c:v>1266.8508166392271</c:v>
                </c:pt>
                <c:pt idx="366">
                  <c:v>1263.8689797314146</c:v>
                </c:pt>
                <c:pt idx="367">
                  <c:v>1260.7939894164151</c:v>
                </c:pt>
                <c:pt idx="368">
                  <c:v>1257.6261022484478</c:v>
                </c:pt>
                <c:pt idx="369">
                  <c:v>1254.3655815117957</c:v>
                </c:pt>
                <c:pt idx="370">
                  <c:v>1251.0126971887805</c:v>
                </c:pt>
                <c:pt idx="371">
                  <c:v>1247.5677259224469</c:v>
                </c:pt>
                <c:pt idx="372">
                  <c:v>1244.0309509743752</c:v>
                </c:pt>
                <c:pt idx="373">
                  <c:v>1240.4026621779956</c:v>
                </c:pt>
                <c:pt idx="374">
                  <c:v>1236.683155887745</c:v>
                </c:pt>
                <c:pt idx="375">
                  <c:v>1232.8727349243702</c:v>
                </c:pt>
                <c:pt idx="376">
                  <c:v>1228.9717085166562</c:v>
                </c:pt>
                <c:pt idx="377">
                  <c:v>1224.9803922398303</c:v>
                </c:pt>
                <c:pt idx="378">
                  <c:v>1220.8991079508721</c:v>
                </c:pt>
                <c:pt idx="379">
                  <c:v>1216.7281837209368</c:v>
                </c:pt>
                <c:pt idx="380">
                  <c:v>1212.467953765085</c:v>
                </c:pt>
                <c:pt idx="381">
                  <c:v>1208.1187583694914</c:v>
                </c:pt>
                <c:pt idx="382">
                  <c:v>1203.6809438162979</c:v>
                </c:pt>
                <c:pt idx="383">
                  <c:v>1199.154862306257</c:v>
                </c:pt>
                <c:pt idx="384">
                  <c:v>1194.5408718793049</c:v>
                </c:pt>
                <c:pt idx="385">
                  <c:v>1189.8393363331938</c:v>
                </c:pt>
                <c:pt idx="386">
                  <c:v>1185.0506251403031</c:v>
                </c:pt>
                <c:pt idx="387">
                  <c:v>1180.1751133627404</c:v>
                </c:pt>
                <c:pt idx="388">
                  <c:v>1175.2131815658411</c:v>
                </c:pt>
                <c:pt idx="389">
                  <c:v>1170.1652157301626</c:v>
                </c:pt>
                <c:pt idx="390">
                  <c:v>1165.0316071620714</c:v>
                </c:pt>
                <c:pt idx="391">
                  <c:v>1159.8127524030085</c:v>
                </c:pt>
                <c:pt idx="392">
                  <c:v>1154.5090531375213</c:v>
                </c:pt>
                <c:pt idx="393">
                  <c:v>1149.120916100142</c:v>
                </c:pt>
                <c:pt idx="394">
                  <c:v>1143.6487529811911</c:v>
                </c:pt>
                <c:pt idx="395">
                  <c:v>1138.0929803315782</c:v>
                </c:pt>
                <c:pt idx="396">
                  <c:v>1132.4540194666768</c:v>
                </c:pt>
                <c:pt idx="397">
                  <c:v>1126.7322963693364</c:v>
                </c:pt>
                <c:pt idx="398">
                  <c:v>1120.9282415921036</c:v>
                </c:pt>
                <c:pt idx="399">
                  <c:v>1115.0422901587153</c:v>
                </c:pt>
                <c:pt idx="400">
                  <c:v>1109.0748814649244</c:v>
                </c:pt>
                <c:pt idx="401">
                  <c:v>1103.0264591787234</c:v>
                </c:pt>
                <c:pt idx="402">
                  <c:v>1096.8974711400215</c:v>
                </c:pt>
                <c:pt idx="403">
                  <c:v>1090.6883692598351</c:v>
                </c:pt>
                <c:pt idx="404">
                  <c:v>1084.3996094190454</c:v>
                </c:pt>
                <c:pt idx="405">
                  <c:v>1078.031651366781</c:v>
                </c:pt>
                <c:pt idx="406">
                  <c:v>1071.5849586184761</c:v>
                </c:pt>
                <c:pt idx="407">
                  <c:v>1065.0599983536588</c:v>
                </c:pt>
                <c:pt idx="408">
                  <c:v>1058.4572413135195</c:v>
                </c:pt>
                <c:pt idx="409">
                  <c:v>1051.7771616983084</c:v>
                </c:pt>
                <c:pt idx="410">
                  <c:v>1045.0202370646134</c:v>
                </c:pt>
                <c:pt idx="411">
                  <c:v>1038.1869482225636</c:v>
                </c:pt>
                <c:pt idx="412">
                  <c:v>1031.2777791330068</c:v>
                </c:pt>
                <c:pt idx="413">
                  <c:v>1024.2932168047064</c:v>
                </c:pt>
                <c:pt idx="414">
                  <c:v>1017.2337511916016</c:v>
                </c:pt>
                <c:pt idx="415">
                  <c:v>1010.0998750901765</c:v>
                </c:pt>
                <c:pt idx="416">
                  <c:v>1002.8920840369792</c:v>
                </c:pt>
                <c:pt idx="417">
                  <c:v>995.61087620633384</c:v>
                </c:pt>
                <c:pt idx="418">
                  <c:v>988.25675230828654</c:v>
                </c:pt>
                <c:pt idx="419">
                  <c:v>980.8302154868253</c:v>
                </c:pt>
                <c:pt idx="420">
                  <c:v>973.33177121841311</c:v>
                </c:pt>
                <c:pt idx="421">
                  <c:v>965.7619272108725</c:v>
                </c:pt>
                <c:pt idx="422">
                  <c:v>958.12119330265932</c:v>
                </c:pt>
                <c:pt idx="423">
                  <c:v>950.41008136256221</c:v>
                </c:pt>
                <c:pt idx="424">
                  <c:v>942.62910518986348</c:v>
                </c:pt>
                <c:pt idx="425">
                  <c:v>934.77878041499605</c:v>
                </c:pt>
                <c:pt idx="426">
                  <c:v>926.85962440073081</c:v>
                </c:pt>
                <c:pt idx="427">
                  <c:v>918.87215614392744</c:v>
                </c:pt>
                <c:pt idx="428">
                  <c:v>910.81689617788061</c:v>
                </c:pt>
                <c:pt idx="429">
                  <c:v>902.6943664752929</c:v>
                </c:pt>
                <c:pt idx="430">
                  <c:v>894.50509035190578</c:v>
                </c:pt>
                <c:pt idx="431">
                  <c:v>886.24959237081691</c:v>
                </c:pt>
                <c:pt idx="432">
                  <c:v>877.92839824751377</c:v>
                </c:pt>
                <c:pt idx="433">
                  <c:v>869.542034755651</c:v>
                </c:pt>
                <c:pt idx="434">
                  <c:v>861.09102963359783</c:v>
                </c:pt>
                <c:pt idx="435">
                  <c:v>852.57591149178324</c:v>
                </c:pt>
                <c:pt idx="436">
                  <c:v>843.99720972086288</c:v>
                </c:pt>
                <c:pt idx="437">
                  <c:v>835.35545440073258</c:v>
                </c:pt>
                <c:pt idx="438">
                  <c:v>826.65117621041202</c:v>
                </c:pt>
                <c:pt idx="439">
                  <c:v>817.88490633882179</c:v>
                </c:pt>
                <c:pt idx="440">
                  <c:v>809.05717639647492</c:v>
                </c:pt>
                <c:pt idx="441">
                  <c:v>800.16851832810403</c:v>
                </c:pt>
                <c:pt idx="442">
                  <c:v>791.2194643262452</c:v>
                </c:pt>
                <c:pt idx="443">
                  <c:v>782.21054674579648</c:v>
                </c:pt>
                <c:pt idx="444">
                  <c:v>773.14229801957106</c:v>
                </c:pt>
                <c:pt idx="445">
                  <c:v>764.01525057486106</c:v>
                </c:pt>
                <c:pt idx="446">
                  <c:v>754.8299367510308</c:v>
                </c:pt>
                <c:pt idx="447">
                  <c:v>745.58688871815366</c:v>
                </c:pt>
                <c:pt idx="448">
                  <c:v>736.28663839670912</c:v>
                </c:pt>
                <c:pt idx="449">
                  <c:v>726.92971737835353</c:v>
                </c:pt>
                <c:pt idx="450">
                  <c:v>717.51665684777925</c:v>
                </c:pt>
                <c:pt idx="451">
                  <c:v>708.0479875056734</c:v>
                </c:pt>
                <c:pt idx="452">
                  <c:v>698.52423949278989</c:v>
                </c:pt>
                <c:pt idx="453">
                  <c:v>688.94594231514498</c:v>
                </c:pt>
                <c:pt idx="454">
                  <c:v>679.31362477034747</c:v>
                </c:pt>
                <c:pt idx="455">
                  <c:v>669.62781487507232</c:v>
                </c:pt>
                <c:pt idx="456">
                  <c:v>659.88903979368808</c:v>
                </c:pt>
                <c:pt idx="457">
                  <c:v>650.09782576804537</c:v>
                </c:pt>
                <c:pt idx="458">
                  <c:v>640.25469804843374</c:v>
                </c:pt>
                <c:pt idx="459">
                  <c:v>630.36018082571491</c:v>
                </c:pt>
                <c:pt idx="460">
                  <c:v>620.41479716463743</c:v>
                </c:pt>
                <c:pt idx="461">
                  <c:v>610.41906893833811</c:v>
                </c:pt>
                <c:pt idx="462">
                  <c:v>600.37351676403591</c:v>
                </c:pt>
                <c:pt idx="463">
                  <c:v>590.27865993992123</c:v>
                </c:pt>
                <c:pt idx="464">
                  <c:v>580.13501638324476</c:v>
                </c:pt>
                <c:pt idx="465">
                  <c:v>569.94310256960819</c:v>
                </c:pt>
                <c:pt idx="466">
                  <c:v>559.70343347345897</c:v>
                </c:pt>
                <c:pt idx="467">
                  <c:v>549.41652250979052</c:v>
                </c:pt>
                <c:pt idx="468">
                  <c:v>539.08288147704889</c:v>
                </c:pt>
                <c:pt idx="469">
                  <c:v>528.70302050124599</c:v>
                </c:pt>
                <c:pt idx="470">
                  <c:v>518.27744798127924</c:v>
                </c:pt>
                <c:pt idx="471">
                  <c:v>507.80667053545636</c:v>
                </c:pt>
                <c:pt idx="472">
                  <c:v>497.29119294922401</c:v>
                </c:pt>
                <c:pt idx="473">
                  <c:v>486.73151812409827</c:v>
                </c:pt>
                <c:pt idx="474">
                  <c:v>476.12814702779451</c:v>
                </c:pt>
                <c:pt idx="475">
                  <c:v>465.48157864555327</c:v>
                </c:pt>
                <c:pt idx="476">
                  <c:v>454.79230993265884</c:v>
                </c:pt>
                <c:pt idx="477">
                  <c:v>444.06083576814603</c:v>
                </c:pt>
                <c:pt idx="478">
                  <c:v>433.28764890969126</c:v>
                </c:pt>
                <c:pt idx="479">
                  <c:v>422.47323994968195</c:v>
                </c:pt>
                <c:pt idx="480">
                  <c:v>411.61809727245986</c:v>
                </c:pt>
                <c:pt idx="481">
                  <c:v>400.72270701273135</c:v>
                </c:pt>
                <c:pt idx="482">
                  <c:v>389.78755301513888</c:v>
                </c:pt>
                <c:pt idx="483">
                  <c:v>378.81311679498674</c:v>
                </c:pt>
                <c:pt idx="484">
                  <c:v>367.79987750011395</c:v>
                </c:pt>
                <c:pt idx="485">
                  <c:v>356.74831187390652</c:v>
                </c:pt>
                <c:pt idx="486">
                  <c:v>345.65889421944121</c:v>
                </c:pt>
                <c:pt idx="487">
                  <c:v>334.53209636475293</c:v>
                </c:pt>
                <c:pt idx="488">
                  <c:v>323.36838762921633</c:v>
                </c:pt>
                <c:pt idx="489">
                  <c:v>312.16823479103329</c:v>
                </c:pt>
                <c:pt idx="490">
                  <c:v>300.9321020558167</c:v>
                </c:pt>
                <c:pt idx="491">
                  <c:v>289.66045102626094</c:v>
                </c:pt>
                <c:pt idx="492">
                  <c:v>278.35374067288922</c:v>
                </c:pt>
                <c:pt idx="493">
                  <c:v>267.01242730586762</c:v>
                </c:pt>
                <c:pt idx="494">
                  <c:v>255.63696454787535</c:v>
                </c:pt>
                <c:pt idx="495">
                  <c:v>244.22780330802038</c:v>
                </c:pt>
                <c:pt idx="496">
                  <c:v>232.78539175678983</c:v>
                </c:pt>
                <c:pt idx="497">
                  <c:v>221.31017530202354</c:v>
                </c:pt>
                <c:pt idx="498">
                  <c:v>209.80259656589985</c:v>
                </c:pt>
                <c:pt idx="499">
                  <c:v>198.26309536292155</c:v>
                </c:pt>
                <c:pt idx="500">
                  <c:v>186.69210867889058</c:v>
                </c:pt>
                <c:pt idx="501">
                  <c:v>175.09007065085922</c:v>
                </c:pt>
                <c:pt idx="502">
                  <c:v>163.45741254804574</c:v>
                </c:pt>
                <c:pt idx="503">
                  <c:v>151.79456275370222</c:v>
                </c:pt>
                <c:pt idx="504">
                  <c:v>140.10194674792206</c:v>
                </c:pt>
                <c:pt idx="505">
                  <c:v>128.37998709137443</c:v>
                </c:pt>
                <c:pt idx="506">
                  <c:v>116.62910340995313</c:v>
                </c:pt>
                <c:pt idx="507">
                  <c:v>104.84971238032698</c:v>
                </c:pt>
                <c:pt idx="508">
                  <c:v>93.042227716378562</c:v>
                </c:pt>
                <c:pt idx="509">
                  <c:v>81.207060156518594</c:v>
                </c:pt>
                <c:pt idx="510">
                  <c:v>69.34461745186249</c:v>
                </c:pt>
                <c:pt idx="511">
                  <c:v>57.455304355256125</c:v>
                </c:pt>
                <c:pt idx="512">
                  <c:v>45.539522611137272</c:v>
                </c:pt>
                <c:pt idx="513">
                  <c:v>33.597670946219623</c:v>
                </c:pt>
                <c:pt idx="514">
                  <c:v>21.630145060985761</c:v>
                </c:pt>
                <c:pt idx="515">
                  <c:v>9.6373376219757922</c:v>
                </c:pt>
                <c:pt idx="516">
                  <c:v>-2.3803617451419008</c:v>
                </c:pt>
                <c:pt idx="517">
                  <c:v>-2.3923918056035842</c:v>
                </c:pt>
                <c:pt idx="518">
                  <c:v>-2.4044218903779</c:v>
                </c:pt>
                <c:pt idx="519">
                  <c:v>-2.4164519994644666</c:v>
                </c:pt>
                <c:pt idx="520">
                  <c:v>-2.4284821328629027</c:v>
                </c:pt>
                <c:pt idx="521">
                  <c:v>-2.4405122905728271</c:v>
                </c:pt>
                <c:pt idx="522">
                  <c:v>-2.4525424725938589</c:v>
                </c:pt>
                <c:pt idx="523">
                  <c:v>-2.464572678925617</c:v>
                </c:pt>
                <c:pt idx="524">
                  <c:v>-2.47660290956772</c:v>
                </c:pt>
                <c:pt idx="525">
                  <c:v>-2.4886331645197868</c:v>
                </c:pt>
                <c:pt idx="526">
                  <c:v>-2.5006634437814363</c:v>
                </c:pt>
                <c:pt idx="527">
                  <c:v>-2.5126937473522872</c:v>
                </c:pt>
                <c:pt idx="528">
                  <c:v>-2.5247240752319584</c:v>
                </c:pt>
                <c:pt idx="529">
                  <c:v>-2.5367544274200688</c:v>
                </c:pt>
                <c:pt idx="530">
                  <c:v>-2.5487848039162371</c:v>
                </c:pt>
                <c:pt idx="531">
                  <c:v>-2.5608152047200821</c:v>
                </c:pt>
                <c:pt idx="532">
                  <c:v>-2.5728456298312228</c:v>
                </c:pt>
                <c:pt idx="533">
                  <c:v>-2.5848760792492782</c:v>
                </c:pt>
                <c:pt idx="534">
                  <c:v>-2.5969065529738669</c:v>
                </c:pt>
                <c:pt idx="535">
                  <c:v>-2.6089370510046077</c:v>
                </c:pt>
                <c:pt idx="536">
                  <c:v>-2.6209675733411197</c:v>
                </c:pt>
                <c:pt idx="537">
                  <c:v>-2.6329981199830215</c:v>
                </c:pt>
                <c:pt idx="538">
                  <c:v>-2.6450286909299323</c:v>
                </c:pt>
                <c:pt idx="539">
                  <c:v>-2.6570592861814708</c:v>
                </c:pt>
                <c:pt idx="540">
                  <c:v>-2.6690899057372559</c:v>
                </c:pt>
                <c:pt idx="541">
                  <c:v>-2.6811205495969066</c:v>
                </c:pt>
                <c:pt idx="542">
                  <c:v>-2.6931512177600414</c:v>
                </c:pt>
                <c:pt idx="543">
                  <c:v>-2.7051819102262793</c:v>
                </c:pt>
                <c:pt idx="544">
                  <c:v>-2.7172126269952397</c:v>
                </c:pt>
                <c:pt idx="545">
                  <c:v>-2.7292433680665407</c:v>
                </c:pt>
                <c:pt idx="546">
                  <c:v>-2.7412741334398016</c:v>
                </c:pt>
                <c:pt idx="547">
                  <c:v>-2.7533049231146416</c:v>
                </c:pt>
                <c:pt idx="548">
                  <c:v>-2.765335737090679</c:v>
                </c:pt>
                <c:pt idx="549">
                  <c:v>-2.777366575367533</c:v>
                </c:pt>
                <c:pt idx="550">
                  <c:v>-2.7893974379448228</c:v>
                </c:pt>
                <c:pt idx="551">
                  <c:v>-2.801428324822167</c:v>
                </c:pt>
                <c:pt idx="552">
                  <c:v>-2.8134592359991841</c:v>
                </c:pt>
                <c:pt idx="553">
                  <c:v>-2.8254901714754936</c:v>
                </c:pt>
                <c:pt idx="554">
                  <c:v>-2.8375211312507145</c:v>
                </c:pt>
                <c:pt idx="555">
                  <c:v>-2.8495521153244652</c:v>
                </c:pt>
                <c:pt idx="556">
                  <c:v>-2.8615831236963651</c:v>
                </c:pt>
                <c:pt idx="557">
                  <c:v>-2.8736141563660329</c:v>
                </c:pt>
                <c:pt idx="558">
                  <c:v>-2.8856452133330874</c:v>
                </c:pt>
                <c:pt idx="559">
                  <c:v>-2.8976762945971477</c:v>
                </c:pt>
                <c:pt idx="560">
                  <c:v>-2.9097074001578327</c:v>
                </c:pt>
                <c:pt idx="561">
                  <c:v>-2.9217385300147614</c:v>
                </c:pt>
                <c:pt idx="562">
                  <c:v>-2.9337696841675527</c:v>
                </c:pt>
                <c:pt idx="563">
                  <c:v>-2.9458008626158256</c:v>
                </c:pt>
                <c:pt idx="564">
                  <c:v>-2.9578320653591987</c:v>
                </c:pt>
                <c:pt idx="565">
                  <c:v>-2.9698632923972914</c:v>
                </c:pt>
                <c:pt idx="566">
                  <c:v>-2.9818945437297226</c:v>
                </c:pt>
                <c:pt idx="567">
                  <c:v>-2.9939258193561109</c:v>
                </c:pt>
                <c:pt idx="568">
                  <c:v>-3.0059571192760757</c:v>
                </c:pt>
                <c:pt idx="569">
                  <c:v>-3.0179884434892355</c:v>
                </c:pt>
                <c:pt idx="570">
                  <c:v>-3.0300197919952097</c:v>
                </c:pt>
                <c:pt idx="571">
                  <c:v>-3.0420511647936168</c:v>
                </c:pt>
                <c:pt idx="572">
                  <c:v>-3.0540825618840763</c:v>
                </c:pt>
                <c:pt idx="573">
                  <c:v>-3.0661139832662072</c:v>
                </c:pt>
                <c:pt idx="574">
                  <c:v>-3.0781454289396279</c:v>
                </c:pt>
                <c:pt idx="575">
                  <c:v>-3.090176898903958</c:v>
                </c:pt>
                <c:pt idx="576">
                  <c:v>-3.1022083931588158</c:v>
                </c:pt>
                <c:pt idx="577">
                  <c:v>-3.1142399117038209</c:v>
                </c:pt>
                <c:pt idx="578">
                  <c:v>-3.1262714545385921</c:v>
                </c:pt>
                <c:pt idx="579">
                  <c:v>-3.1383030216627481</c:v>
                </c:pt>
                <c:pt idx="580">
                  <c:v>-3.1503346130759082</c:v>
                </c:pt>
                <c:pt idx="581">
                  <c:v>-3.1623662287776915</c:v>
                </c:pt>
                <c:pt idx="582">
                  <c:v>-3.1743978687677168</c:v>
                </c:pt>
                <c:pt idx="583">
                  <c:v>-3.1864295330456032</c:v>
                </c:pt>
                <c:pt idx="584">
                  <c:v>-3.1984612216109696</c:v>
                </c:pt>
                <c:pt idx="585">
                  <c:v>-3.210492934463435</c:v>
                </c:pt>
                <c:pt idx="586">
                  <c:v>-3.2225246716026184</c:v>
                </c:pt>
                <c:pt idx="587">
                  <c:v>-3.2345564330281391</c:v>
                </c:pt>
                <c:pt idx="588">
                  <c:v>-3.2465882187396158</c:v>
                </c:pt>
                <c:pt idx="589">
                  <c:v>-3.2586200287366678</c:v>
                </c:pt>
                <c:pt idx="590">
                  <c:v>-3.2706518630189141</c:v>
                </c:pt>
                <c:pt idx="591">
                  <c:v>-3.2826837215859732</c:v>
                </c:pt>
                <c:pt idx="592">
                  <c:v>-3.2947156044374646</c:v>
                </c:pt>
                <c:pt idx="593">
                  <c:v>-3.3067475115730072</c:v>
                </c:pt>
                <c:pt idx="594">
                  <c:v>-3.3187794429922204</c:v>
                </c:pt>
                <c:pt idx="595">
                  <c:v>-3.3308113986947228</c:v>
                </c:pt>
                <c:pt idx="596">
                  <c:v>-3.3428433786801337</c:v>
                </c:pt>
                <c:pt idx="597">
                  <c:v>-3.3548753829480717</c:v>
                </c:pt>
                <c:pt idx="598">
                  <c:v>-3.3669074114981563</c:v>
                </c:pt>
                <c:pt idx="599">
                  <c:v>-3.3789394643300064</c:v>
                </c:pt>
                <c:pt idx="600">
                  <c:v>-3.3909715414432413</c:v>
                </c:pt>
                <c:pt idx="601">
                  <c:v>-3.4030036428374797</c:v>
                </c:pt>
                <c:pt idx="602">
                  <c:v>-3.4150357685123409</c:v>
                </c:pt>
                <c:pt idx="603">
                  <c:v>-3.427067918467444</c:v>
                </c:pt>
                <c:pt idx="604">
                  <c:v>-3.4391000927024078</c:v>
                </c:pt>
                <c:pt idx="605">
                  <c:v>-3.4511322912168514</c:v>
                </c:pt>
                <c:pt idx="606">
                  <c:v>-3.4631645140103942</c:v>
                </c:pt>
                <c:pt idx="607">
                  <c:v>-3.4751967610826551</c:v>
                </c:pt>
                <c:pt idx="608">
                  <c:v>-3.4872290324332531</c:v>
                </c:pt>
                <c:pt idx="609">
                  <c:v>-3.4992613280618072</c:v>
                </c:pt>
                <c:pt idx="610">
                  <c:v>-3.5112936479679369</c:v>
                </c:pt>
                <c:pt idx="611">
                  <c:v>-3.523325992151261</c:v>
                </c:pt>
                <c:pt idx="612">
                  <c:v>-3.5353583606113985</c:v>
                </c:pt>
                <c:pt idx="613">
                  <c:v>-3.5473907533479685</c:v>
                </c:pt>
                <c:pt idx="614">
                  <c:v>-3.5594231703605903</c:v>
                </c:pt>
                <c:pt idx="615">
                  <c:v>-3.5714556116488829</c:v>
                </c:pt>
                <c:pt idx="616">
                  <c:v>-3.5834880772124653</c:v>
                </c:pt>
                <c:pt idx="617">
                  <c:v>-3.5955205670509569</c:v>
                </c:pt>
                <c:pt idx="618">
                  <c:v>-3.6075530811639767</c:v>
                </c:pt>
                <c:pt idx="619">
                  <c:v>-3.6195856195511436</c:v>
                </c:pt>
                <c:pt idx="620">
                  <c:v>-3.6316181822120766</c:v>
                </c:pt>
                <c:pt idx="621">
                  <c:v>-3.6436507691463951</c:v>
                </c:pt>
                <c:pt idx="622">
                  <c:v>-3.6556833803537181</c:v>
                </c:pt>
                <c:pt idx="623">
                  <c:v>-3.667716015833665</c:v>
                </c:pt>
                <c:pt idx="624">
                  <c:v>-3.6797486755858548</c:v>
                </c:pt>
                <c:pt idx="625">
                  <c:v>-3.6917813596099065</c:v>
                </c:pt>
                <c:pt idx="626">
                  <c:v>-3.7038140679054394</c:v>
                </c:pt>
                <c:pt idx="627">
                  <c:v>-3.7158468004720726</c:v>
                </c:pt>
                <c:pt idx="628">
                  <c:v>-3.727879557309425</c:v>
                </c:pt>
                <c:pt idx="629">
                  <c:v>-3.739912338417116</c:v>
                </c:pt>
                <c:pt idx="630">
                  <c:v>-3.7519451437947646</c:v>
                </c:pt>
                <c:pt idx="631">
                  <c:v>-3.7639779734419903</c:v>
                </c:pt>
                <c:pt idx="632">
                  <c:v>-3.7760108273584119</c:v>
                </c:pt>
                <c:pt idx="633">
                  <c:v>-3.7880437055436484</c:v>
                </c:pt>
                <c:pt idx="634">
                  <c:v>-3.8000766079973194</c:v>
                </c:pt>
                <c:pt idx="635">
                  <c:v>-3.8121095347190437</c:v>
                </c:pt>
                <c:pt idx="636">
                  <c:v>-3.8241424857084407</c:v>
                </c:pt>
                <c:pt idx="637">
                  <c:v>-3.8361754609651295</c:v>
                </c:pt>
                <c:pt idx="638">
                  <c:v>-3.8482084604887294</c:v>
                </c:pt>
                <c:pt idx="639">
                  <c:v>-3.8602414842788595</c:v>
                </c:pt>
                <c:pt idx="640">
                  <c:v>-3.8722745323351386</c:v>
                </c:pt>
                <c:pt idx="641">
                  <c:v>-3.8843076046571863</c:v>
                </c:pt>
                <c:pt idx="642">
                  <c:v>-3.8963407012446218</c:v>
                </c:pt>
                <c:pt idx="643">
                  <c:v>-3.9083738220970643</c:v>
                </c:pt>
                <c:pt idx="644">
                  <c:v>-3.9204069672141326</c:v>
                </c:pt>
                <c:pt idx="645">
                  <c:v>-3.9324401365954462</c:v>
                </c:pt>
                <c:pt idx="646">
                  <c:v>-3.9444733302406241</c:v>
                </c:pt>
                <c:pt idx="647">
                  <c:v>-3.9565065481492856</c:v>
                </c:pt>
                <c:pt idx="648">
                  <c:v>-3.9685397903210502</c:v>
                </c:pt>
                <c:pt idx="649">
                  <c:v>-3.9805730567555369</c:v>
                </c:pt>
                <c:pt idx="650">
                  <c:v>-3.9926063474523645</c:v>
                </c:pt>
                <c:pt idx="651">
                  <c:v>-4.0046396624111527</c:v>
                </c:pt>
                <c:pt idx="652">
                  <c:v>-4.0166730016315206</c:v>
                </c:pt>
                <c:pt idx="653">
                  <c:v>-4.0287063651130879</c:v>
                </c:pt>
                <c:pt idx="654">
                  <c:v>-4.0407397528554725</c:v>
                </c:pt>
                <c:pt idx="655">
                  <c:v>-4.0527731648582952</c:v>
                </c:pt>
                <c:pt idx="656">
                  <c:v>-4.0648066011211741</c:v>
                </c:pt>
                <c:pt idx="657">
                  <c:v>-4.076840061643729</c:v>
                </c:pt>
                <c:pt idx="658">
                  <c:v>-4.088873546425579</c:v>
                </c:pt>
                <c:pt idx="659">
                  <c:v>-4.1009070554663429</c:v>
                </c:pt>
                <c:pt idx="660">
                  <c:v>-4.1129405887656407</c:v>
                </c:pt>
                <c:pt idx="661">
                  <c:v>-4.1249741463230905</c:v>
                </c:pt>
                <c:pt idx="662">
                  <c:v>-4.1370077281383129</c:v>
                </c:pt>
                <c:pt idx="663">
                  <c:v>-4.149041334210926</c:v>
                </c:pt>
                <c:pt idx="664">
                  <c:v>-4.1610749645405498</c:v>
                </c:pt>
                <c:pt idx="665">
                  <c:v>-4.1731086191268032</c:v>
                </c:pt>
                <c:pt idx="666">
                  <c:v>-4.185142297969306</c:v>
                </c:pt>
                <c:pt idx="667">
                  <c:v>-4.1971760010676764</c:v>
                </c:pt>
                <c:pt idx="668">
                  <c:v>-4.2092097284215351</c:v>
                </c:pt>
                <c:pt idx="669">
                  <c:v>-4.2212434800305001</c:v>
                </c:pt>
                <c:pt idx="670">
                  <c:v>-4.2332772558941913</c:v>
                </c:pt>
                <c:pt idx="671">
                  <c:v>-4.2453110560122278</c:v>
                </c:pt>
                <c:pt idx="672">
                  <c:v>-4.2573448803842284</c:v>
                </c:pt>
                <c:pt idx="673">
                  <c:v>-4.2693787290098131</c:v>
                </c:pt>
                <c:pt idx="674">
                  <c:v>-4.2814126018886007</c:v>
                </c:pt>
                <c:pt idx="675">
                  <c:v>-4.2934464990202112</c:v>
                </c:pt>
                <c:pt idx="676">
                  <c:v>-4.3054804204042636</c:v>
                </c:pt>
                <c:pt idx="677">
                  <c:v>-4.3175143660403767</c:v>
                </c:pt>
                <c:pt idx="678">
                  <c:v>-4.3295483359281697</c:v>
                </c:pt>
                <c:pt idx="679">
                  <c:v>-4.3415823300672622</c:v>
                </c:pt>
                <c:pt idx="680">
                  <c:v>-4.3536163484572743</c:v>
                </c:pt>
                <c:pt idx="681">
                  <c:v>-4.3656503910978239</c:v>
                </c:pt>
                <c:pt idx="682">
                  <c:v>-4.377684457988531</c:v>
                </c:pt>
                <c:pt idx="683">
                  <c:v>-4.3897185491290154</c:v>
                </c:pt>
                <c:pt idx="684">
                  <c:v>-4.401752664518896</c:v>
                </c:pt>
                <c:pt idx="685">
                  <c:v>-4.4137868041577919</c:v>
                </c:pt>
                <c:pt idx="686">
                  <c:v>-4.425820968045322</c:v>
                </c:pt>
                <c:pt idx="687">
                  <c:v>-4.4378551561811062</c:v>
                </c:pt>
                <c:pt idx="688">
                  <c:v>-4.4498893685647642</c:v>
                </c:pt>
                <c:pt idx="689">
                  <c:v>-4.4619236051959152</c:v>
                </c:pt>
                <c:pt idx="690">
                  <c:v>-4.4739578660741781</c:v>
                </c:pt>
                <c:pt idx="691">
                  <c:v>-4.4859921511991718</c:v>
                </c:pt>
                <c:pt idx="692">
                  <c:v>-4.4980264605705162</c:v>
                </c:pt>
                <c:pt idx="693">
                  <c:v>-4.5100607941878312</c:v>
                </c:pt>
                <c:pt idx="694">
                  <c:v>-4.5220951520507358</c:v>
                </c:pt>
                <c:pt idx="695">
                  <c:v>-4.5341295341588488</c:v>
                </c:pt>
                <c:pt idx="696">
                  <c:v>-4.5461639405117893</c:v>
                </c:pt>
                <c:pt idx="697">
                  <c:v>-4.5581983711091771</c:v>
                </c:pt>
                <c:pt idx="698">
                  <c:v>-4.5702328259506322</c:v>
                </c:pt>
                <c:pt idx="699">
                  <c:v>-4.5822673050357734</c:v>
                </c:pt>
                <c:pt idx="700">
                  <c:v>-4.5943018083642198</c:v>
                </c:pt>
                <c:pt idx="701">
                  <c:v>-4.6063363359355911</c:v>
                </c:pt>
                <c:pt idx="702">
                  <c:v>-4.6183708877495064</c:v>
                </c:pt>
                <c:pt idx="703">
                  <c:v>-4.6304054638055856</c:v>
                </c:pt>
                <c:pt idx="704">
                  <c:v>-4.6424400641034476</c:v>
                </c:pt>
                <c:pt idx="705">
                  <c:v>-4.6544746886427122</c:v>
                </c:pt>
                <c:pt idx="706">
                  <c:v>-4.6665093374229984</c:v>
                </c:pt>
                <c:pt idx="707">
                  <c:v>-4.6785440104439253</c:v>
                </c:pt>
                <c:pt idx="708">
                  <c:v>-4.6905787077051126</c:v>
                </c:pt>
                <c:pt idx="709">
                  <c:v>-4.7026134292061803</c:v>
                </c:pt>
                <c:pt idx="710">
                  <c:v>-4.7146481749467473</c:v>
                </c:pt>
                <c:pt idx="711">
                  <c:v>-4.7266829449264325</c:v>
                </c:pt>
                <c:pt idx="712">
                  <c:v>-4.7387177391448558</c:v>
                </c:pt>
                <c:pt idx="713">
                  <c:v>-4.7507525576016363</c:v>
                </c:pt>
                <c:pt idx="714">
                  <c:v>-4.7627874002963937</c:v>
                </c:pt>
                <c:pt idx="715">
                  <c:v>-4.7748222672287479</c:v>
                </c:pt>
                <c:pt idx="716">
                  <c:v>-4.786857158398317</c:v>
                </c:pt>
                <c:pt idx="717">
                  <c:v>-4.7988920738047218</c:v>
                </c:pt>
                <c:pt idx="718">
                  <c:v>-4.8109270134475812</c:v>
                </c:pt>
                <c:pt idx="719">
                  <c:v>-4.8229619773265142</c:v>
                </c:pt>
                <c:pt idx="720">
                  <c:v>-4.8349969654411407</c:v>
                </c:pt>
                <c:pt idx="721">
                  <c:v>-4.8470319777910795</c:v>
                </c:pt>
                <c:pt idx="722">
                  <c:v>-4.8590670143759507</c:v>
                </c:pt>
                <c:pt idx="723">
                  <c:v>-4.8711020751953731</c:v>
                </c:pt>
                <c:pt idx="724">
                  <c:v>-4.8831371602489666</c:v>
                </c:pt>
                <c:pt idx="725">
                  <c:v>-4.8951722695363502</c:v>
                </c:pt>
                <c:pt idx="726">
                  <c:v>-4.9072074030571438</c:v>
                </c:pt>
                <c:pt idx="727">
                  <c:v>-4.9192425608109671</c:v>
                </c:pt>
                <c:pt idx="728">
                  <c:v>-4.9312777427974392</c:v>
                </c:pt>
                <c:pt idx="729">
                  <c:v>-4.9433129490161791</c:v>
                </c:pt>
                <c:pt idx="730">
                  <c:v>-4.9553481794668066</c:v>
                </c:pt>
                <c:pt idx="731">
                  <c:v>-4.9673834341489416</c:v>
                </c:pt>
                <c:pt idx="732">
                  <c:v>-4.979418713062203</c:v>
                </c:pt>
                <c:pt idx="733">
                  <c:v>-4.9914540162062107</c:v>
                </c:pt>
                <c:pt idx="734">
                  <c:v>-5.0034893435805836</c:v>
                </c:pt>
                <c:pt idx="735">
                  <c:v>-5.0155246951849417</c:v>
                </c:pt>
                <c:pt idx="736">
                  <c:v>-5.0275600710189039</c:v>
                </c:pt>
                <c:pt idx="737">
                  <c:v>-5.0395954710820901</c:v>
                </c:pt>
                <c:pt idx="738">
                  <c:v>-5.0516308953741191</c:v>
                </c:pt>
                <c:pt idx="739">
                  <c:v>-5.063666343894611</c:v>
                </c:pt>
                <c:pt idx="740">
                  <c:v>-5.0757018166431855</c:v>
                </c:pt>
                <c:pt idx="741">
                  <c:v>-5.0877373136194617</c:v>
                </c:pt>
                <c:pt idx="742">
                  <c:v>-5.0997728348230593</c:v>
                </c:pt>
                <c:pt idx="743">
                  <c:v>-5.1118083802535974</c:v>
                </c:pt>
                <c:pt idx="744">
                  <c:v>-5.1238439499106958</c:v>
                </c:pt>
                <c:pt idx="745">
                  <c:v>-5.1358795437939744</c:v>
                </c:pt>
                <c:pt idx="746">
                  <c:v>-5.1479151619030521</c:v>
                </c:pt>
                <c:pt idx="747">
                  <c:v>-5.1599508042375479</c:v>
                </c:pt>
                <c:pt idx="748">
                  <c:v>-5.1719864707970826</c:v>
                </c:pt>
                <c:pt idx="749">
                  <c:v>-5.1840221615812752</c:v>
                </c:pt>
                <c:pt idx="750">
                  <c:v>-5.1960578765897445</c:v>
                </c:pt>
                <c:pt idx="751">
                  <c:v>-5.2080936158221105</c:v>
                </c:pt>
                <c:pt idx="752">
                  <c:v>-5.220129379277993</c:v>
                </c:pt>
                <c:pt idx="753">
                  <c:v>-5.2321651669570111</c:v>
                </c:pt>
                <c:pt idx="754">
                  <c:v>-5.2442009788587844</c:v>
                </c:pt>
                <c:pt idx="755">
                  <c:v>-5.256236814982933</c:v>
                </c:pt>
                <c:pt idx="756">
                  <c:v>-5.2682726753290758</c:v>
                </c:pt>
                <c:pt idx="757">
                  <c:v>-5.2803085598968327</c:v>
                </c:pt>
                <c:pt idx="758">
                  <c:v>-5.2923444686858225</c:v>
                </c:pt>
                <c:pt idx="759">
                  <c:v>-5.3043804016956662</c:v>
                </c:pt>
                <c:pt idx="760">
                  <c:v>-5.3164163589259816</c:v>
                </c:pt>
                <c:pt idx="761">
                  <c:v>-5.3284523403763897</c:v>
                </c:pt>
                <c:pt idx="762">
                  <c:v>-5.3404883460465093</c:v>
                </c:pt>
                <c:pt idx="763">
                  <c:v>-5.3525243759359595</c:v>
                </c:pt>
                <c:pt idx="764">
                  <c:v>-5.364560430044361</c:v>
                </c:pt>
                <c:pt idx="765">
                  <c:v>-5.3765965083713327</c:v>
                </c:pt>
                <c:pt idx="766">
                  <c:v>-5.3886326109164946</c:v>
                </c:pt>
                <c:pt idx="767">
                  <c:v>-5.4006687376794655</c:v>
                </c:pt>
                <c:pt idx="768">
                  <c:v>-5.4127048886598654</c:v>
                </c:pt>
                <c:pt idx="769">
                  <c:v>-5.4247410638573141</c:v>
                </c:pt>
                <c:pt idx="770">
                  <c:v>-5.4367772632714306</c:v>
                </c:pt>
                <c:pt idx="771">
                  <c:v>-5.4488134869018348</c:v>
                </c:pt>
                <c:pt idx="772">
                  <c:v>-5.4608497347481464</c:v>
                </c:pt>
                <c:pt idx="773">
                  <c:v>-5.4728860068099845</c:v>
                </c:pt>
                <c:pt idx="774">
                  <c:v>-5.4849223030869689</c:v>
                </c:pt>
                <c:pt idx="775">
                  <c:v>-5.4969586235787196</c:v>
                </c:pt>
                <c:pt idx="776">
                  <c:v>-5.5089949682848554</c:v>
                </c:pt>
                <c:pt idx="777">
                  <c:v>-5.5210313372049971</c:v>
                </c:pt>
                <c:pt idx="778">
                  <c:v>-5.5330677303387628</c:v>
                </c:pt>
                <c:pt idx="779">
                  <c:v>-5.5451041476857732</c:v>
                </c:pt>
                <c:pt idx="780">
                  <c:v>-5.5571405892456474</c:v>
                </c:pt>
                <c:pt idx="781">
                  <c:v>-5.5691770550180051</c:v>
                </c:pt>
                <c:pt idx="782">
                  <c:v>-5.5812135450024662</c:v>
                </c:pt>
                <c:pt idx="783">
                  <c:v>-5.5932500591986498</c:v>
                </c:pt>
                <c:pt idx="784">
                  <c:v>-5.6052865976061756</c:v>
                </c:pt>
                <c:pt idx="785">
                  <c:v>-5.6173231602246636</c:v>
                </c:pt>
                <c:pt idx="786">
                  <c:v>-5.6293597470537335</c:v>
                </c:pt>
                <c:pt idx="787">
                  <c:v>-5.6413963580930044</c:v>
                </c:pt>
                <c:pt idx="788">
                  <c:v>-5.6534329933420961</c:v>
                </c:pt>
                <c:pt idx="789">
                  <c:v>-5.6654696528006285</c:v>
                </c:pt>
                <c:pt idx="790">
                  <c:v>-5.6775063364682214</c:v>
                </c:pt>
                <c:pt idx="791">
                  <c:v>-5.6895430443444939</c:v>
                </c:pt>
                <c:pt idx="792">
                  <c:v>-5.7015797764290657</c:v>
                </c:pt>
                <c:pt idx="793">
                  <c:v>-5.7136165327215567</c:v>
                </c:pt>
                <c:pt idx="794">
                  <c:v>-5.7256533132215859</c:v>
                </c:pt>
                <c:pt idx="795">
                  <c:v>-5.737690117928774</c:v>
                </c:pt>
                <c:pt idx="796">
                  <c:v>-5.7497269468427401</c:v>
                </c:pt>
                <c:pt idx="797">
                  <c:v>-5.7617637999631039</c:v>
                </c:pt>
                <c:pt idx="798">
                  <c:v>-5.7738006772894845</c:v>
                </c:pt>
                <c:pt idx="799">
                  <c:v>-5.7858375788215026</c:v>
                </c:pt>
                <c:pt idx="800">
                  <c:v>-5.7978745045587772</c:v>
                </c:pt>
                <c:pt idx="801">
                  <c:v>-5.8099114545009281</c:v>
                </c:pt>
                <c:pt idx="802">
                  <c:v>-5.8219484286475742</c:v>
                </c:pt>
                <c:pt idx="803">
                  <c:v>-5.8339854269983364</c:v>
                </c:pt>
                <c:pt idx="804">
                  <c:v>-5.8460224495528337</c:v>
                </c:pt>
                <c:pt idx="805">
                  <c:v>-5.8580594963106858</c:v>
                </c:pt>
                <c:pt idx="806">
                  <c:v>-5.8700965672715126</c:v>
                </c:pt>
                <c:pt idx="807">
                  <c:v>-5.8821336624349341</c:v>
                </c:pt>
                <c:pt idx="808">
                  <c:v>-5.8941707818005691</c:v>
                </c:pt>
                <c:pt idx="809">
                  <c:v>-5.9062079253680384</c:v>
                </c:pt>
                <c:pt idx="810">
                  <c:v>-5.918245093136961</c:v>
                </c:pt>
                <c:pt idx="811">
                  <c:v>-5.9302822851069568</c:v>
                </c:pt>
                <c:pt idx="812">
                  <c:v>-5.9423195012776455</c:v>
                </c:pt>
                <c:pt idx="813">
                  <c:v>-5.9543567416486463</c:v>
                </c:pt>
                <c:pt idx="814">
                  <c:v>-5.9663940062195797</c:v>
                </c:pt>
                <c:pt idx="815">
                  <c:v>-5.9784312949900649</c:v>
                </c:pt>
                <c:pt idx="816">
                  <c:v>-5.9904686079597216</c:v>
                </c:pt>
                <c:pt idx="817">
                  <c:v>-6.0025059451281697</c:v>
                </c:pt>
                <c:pt idx="818">
                  <c:v>-6.0145433064950282</c:v>
                </c:pt>
                <c:pt idx="819">
                  <c:v>-6.0265806920599179</c:v>
                </c:pt>
                <c:pt idx="820">
                  <c:v>-6.0386181018224576</c:v>
                </c:pt>
                <c:pt idx="821">
                  <c:v>-6.0506555357822682</c:v>
                </c:pt>
                <c:pt idx="822">
                  <c:v>-6.0626929939389687</c:v>
                </c:pt>
                <c:pt idx="823">
                  <c:v>-6.0747304762921788</c:v>
                </c:pt>
                <c:pt idx="824">
                  <c:v>-6.0867679828415184</c:v>
                </c:pt>
                <c:pt idx="825">
                  <c:v>-6.0988055135866066</c:v>
                </c:pt>
                <c:pt idx="826">
                  <c:v>-6.110843068527064</c:v>
                </c:pt>
                <c:pt idx="827">
                  <c:v>-6.1228806476625097</c:v>
                </c:pt>
                <c:pt idx="828">
                  <c:v>-6.1349182509925635</c:v>
                </c:pt>
                <c:pt idx="829">
                  <c:v>-6.1469558785168461</c:v>
                </c:pt>
                <c:pt idx="830">
                  <c:v>-6.1589935302349765</c:v>
                </c:pt>
                <c:pt idx="831">
                  <c:v>-6.1710312061465746</c:v>
                </c:pt>
                <c:pt idx="832">
                  <c:v>-6.1830689062512594</c:v>
                </c:pt>
                <c:pt idx="833">
                  <c:v>-6.1951066305486515</c:v>
                </c:pt>
                <c:pt idx="834">
                  <c:v>-6.2071443790383709</c:v>
                </c:pt>
                <c:pt idx="835">
                  <c:v>-6.2191821517200365</c:v>
                </c:pt>
                <c:pt idx="836">
                  <c:v>-6.2312199485932691</c:v>
                </c:pt>
                <c:pt idx="837">
                  <c:v>-6.2432577696576876</c:v>
                </c:pt>
                <c:pt idx="838">
                  <c:v>-6.255295614912912</c:v>
                </c:pt>
                <c:pt idx="839">
                  <c:v>-6.267333484358562</c:v>
                </c:pt>
                <c:pt idx="840">
                  <c:v>-6.2793713779942575</c:v>
                </c:pt>
                <c:pt idx="841">
                  <c:v>-6.2914092958196184</c:v>
                </c:pt>
                <c:pt idx="842">
                  <c:v>-6.3034472378342645</c:v>
                </c:pt>
                <c:pt idx="843">
                  <c:v>-6.3154852040378158</c:v>
                </c:pt>
                <c:pt idx="844">
                  <c:v>-6.3275231944298911</c:v>
                </c:pt>
                <c:pt idx="845">
                  <c:v>-6.3395612090101112</c:v>
                </c:pt>
                <c:pt idx="846">
                  <c:v>-6.351599247778096</c:v>
                </c:pt>
                <c:pt idx="847">
                  <c:v>-6.3636373107334645</c:v>
                </c:pt>
                <c:pt idx="848">
                  <c:v>-6.3756753978758374</c:v>
                </c:pt>
                <c:pt idx="849">
                  <c:v>-6.3877135092048336</c:v>
                </c:pt>
                <c:pt idx="850">
                  <c:v>-6.3997516447200731</c:v>
                </c:pt>
                <c:pt idx="851">
                  <c:v>-6.4117898044211765</c:v>
                </c:pt>
                <c:pt idx="852">
                  <c:v>-6.4238279883077629</c:v>
                </c:pt>
                <c:pt idx="853">
                  <c:v>-6.4358661963794521</c:v>
                </c:pt>
                <c:pt idx="854">
                  <c:v>-6.447904428635864</c:v>
                </c:pt>
                <c:pt idx="855">
                  <c:v>-6.4599426850766184</c:v>
                </c:pt>
                <c:pt idx="856">
                  <c:v>-6.4719809657013352</c:v>
                </c:pt>
                <c:pt idx="857">
                  <c:v>-6.4840192705096342</c:v>
                </c:pt>
                <c:pt idx="858">
                  <c:v>-6.4960575995011354</c:v>
                </c:pt>
                <c:pt idx="859">
                  <c:v>-6.5080959526754585</c:v>
                </c:pt>
                <c:pt idx="860">
                  <c:v>-6.5201343300322234</c:v>
                </c:pt>
                <c:pt idx="861">
                  <c:v>-6.5321727315710501</c:v>
                </c:pt>
                <c:pt idx="862">
                  <c:v>-6.5442111572915582</c:v>
                </c:pt>
                <c:pt idx="863">
                  <c:v>-6.5562496071933678</c:v>
                </c:pt>
                <c:pt idx="864">
                  <c:v>-6.5682880812760986</c:v>
                </c:pt>
                <c:pt idx="865">
                  <c:v>-6.5803265795393706</c:v>
                </c:pt>
                <c:pt idx="866">
                  <c:v>-6.5923651019828036</c:v>
                </c:pt>
                <c:pt idx="867">
                  <c:v>-6.6044036486060174</c:v>
                </c:pt>
                <c:pt idx="868">
                  <c:v>-6.6164422194086319</c:v>
                </c:pt>
                <c:pt idx="869">
                  <c:v>-6.6284808143902669</c:v>
                </c:pt>
                <c:pt idx="870">
                  <c:v>-6.6405194335505424</c:v>
                </c:pt>
                <c:pt idx="871">
                  <c:v>-6.6525580768890782</c:v>
                </c:pt>
                <c:pt idx="872">
                  <c:v>-6.6645967444054941</c:v>
                </c:pt>
                <c:pt idx="873">
                  <c:v>-6.67663543609941</c:v>
                </c:pt>
                <c:pt idx="874">
                  <c:v>-6.6886741519704458</c:v>
                </c:pt>
                <c:pt idx="875">
                  <c:v>-6.7007128920182213</c:v>
                </c:pt>
                <c:pt idx="876">
                  <c:v>-6.7127516562423564</c:v>
                </c:pt>
                <c:pt idx="877">
                  <c:v>-6.7247904446424709</c:v>
                </c:pt>
                <c:pt idx="878">
                  <c:v>-6.7368292572181856</c:v>
                </c:pt>
                <c:pt idx="879">
                  <c:v>-6.7488680939691195</c:v>
                </c:pt>
                <c:pt idx="880">
                  <c:v>-6.7609069548948924</c:v>
                </c:pt>
                <c:pt idx="881">
                  <c:v>-6.772945839995125</c:v>
                </c:pt>
                <c:pt idx="882">
                  <c:v>-6.7849847492694364</c:v>
                </c:pt>
                <c:pt idx="883">
                  <c:v>-6.7970236827174473</c:v>
                </c:pt>
                <c:pt idx="884">
                  <c:v>-6.8090626403387766</c:v>
                </c:pt>
                <c:pt idx="885">
                  <c:v>-6.8211016221330452</c:v>
                </c:pt>
                <c:pt idx="886">
                  <c:v>-6.8331406280998719</c:v>
                </c:pt>
                <c:pt idx="887">
                  <c:v>-6.8451796582388775</c:v>
                </c:pt>
                <c:pt idx="888">
                  <c:v>-6.857218712549682</c:v>
                </c:pt>
                <c:pt idx="889">
                  <c:v>-6.869257791031905</c:v>
                </c:pt>
                <c:pt idx="890">
                  <c:v>-6.8812968936851666</c:v>
                </c:pt>
                <c:pt idx="891">
                  <c:v>-6.8933360205090866</c:v>
                </c:pt>
                <c:pt idx="892">
                  <c:v>-6.9053751715032847</c:v>
                </c:pt>
                <c:pt idx="893">
                  <c:v>-6.917414346667381</c:v>
                </c:pt>
                <c:pt idx="894">
                  <c:v>-6.9294535460009961</c:v>
                </c:pt>
                <c:pt idx="895">
                  <c:v>-6.9414927695037489</c:v>
                </c:pt>
                <c:pt idx="896">
                  <c:v>-6.9535320171752604</c:v>
                </c:pt>
                <c:pt idx="897">
                  <c:v>-6.9655712890151502</c:v>
                </c:pt>
                <c:pt idx="898">
                  <c:v>-6.9776105850230374</c:v>
                </c:pt>
                <c:pt idx="899">
                  <c:v>-6.9896499051985428</c:v>
                </c:pt>
                <c:pt idx="900">
                  <c:v>-7.0016892495412861</c:v>
                </c:pt>
                <c:pt idx="901">
                  <c:v>-7.0137286180508873</c:v>
                </c:pt>
                <c:pt idx="902">
                  <c:v>-7.0257680107269671</c:v>
                </c:pt>
                <c:pt idx="903">
                  <c:v>-7.0378074275691445</c:v>
                </c:pt>
                <c:pt idx="904">
                  <c:v>-7.0498468685770392</c:v>
                </c:pt>
                <c:pt idx="905">
                  <c:v>-7.0618863337502722</c:v>
                </c:pt>
                <c:pt idx="906">
                  <c:v>-7.0739258230884632</c:v>
                </c:pt>
                <c:pt idx="907">
                  <c:v>-7.0859653365912321</c:v>
                </c:pt>
                <c:pt idx="908">
                  <c:v>-7.0980048742581987</c:v>
                </c:pt>
                <c:pt idx="909">
                  <c:v>-7.110044436088983</c:v>
                </c:pt>
                <c:pt idx="910">
                  <c:v>-7.1220840220832056</c:v>
                </c:pt>
                <c:pt idx="911">
                  <c:v>-7.1341236322404855</c:v>
                </c:pt>
                <c:pt idx="912">
                  <c:v>-7.1461632665604435</c:v>
                </c:pt>
                <c:pt idx="913">
                  <c:v>-7.1582029250426995</c:v>
                </c:pt>
                <c:pt idx="914">
                  <c:v>-7.1702426076868733</c:v>
                </c:pt>
                <c:pt idx="915">
                  <c:v>-7.1822823144925847</c:v>
                </c:pt>
                <c:pt idx="916">
                  <c:v>-7.1943220454594536</c:v>
                </c:pt>
                <c:pt idx="917">
                  <c:v>-7.2063618005871009</c:v>
                </c:pt>
                <c:pt idx="918">
                  <c:v>-7.2184015798751453</c:v>
                </c:pt>
                <c:pt idx="919">
                  <c:v>-7.2304413833232077</c:v>
                </c:pt>
                <c:pt idx="920">
                  <c:v>-7.242481210930908</c:v>
                </c:pt>
                <c:pt idx="921">
                  <c:v>-7.2545210626978669</c:v>
                </c:pt>
                <c:pt idx="922">
                  <c:v>-7.2665609386237033</c:v>
                </c:pt>
                <c:pt idx="923">
                  <c:v>-7.2786008387080381</c:v>
                </c:pt>
                <c:pt idx="924">
                  <c:v>-7.290640762950491</c:v>
                </c:pt>
                <c:pt idx="925">
                  <c:v>-7.302680711350682</c:v>
                </c:pt>
                <c:pt idx="926">
                  <c:v>-7.3147206839082308</c:v>
                </c:pt>
                <c:pt idx="927">
                  <c:v>-7.3267606806227574</c:v>
                </c:pt>
                <c:pt idx="928">
                  <c:v>-7.3388007014938825</c:v>
                </c:pt>
                <c:pt idx="929">
                  <c:v>-7.350840746521226</c:v>
                </c:pt>
                <c:pt idx="930">
                  <c:v>-7.3628808157044077</c:v>
                </c:pt>
                <c:pt idx="931">
                  <c:v>-7.3749209090430474</c:v>
                </c:pt>
                <c:pt idx="932">
                  <c:v>-7.386961026536766</c:v>
                </c:pt>
                <c:pt idx="933">
                  <c:v>-7.3990011681851833</c:v>
                </c:pt>
                <c:pt idx="934">
                  <c:v>-7.4110413339879191</c:v>
                </c:pt>
                <c:pt idx="935">
                  <c:v>-7.4230815239445933</c:v>
                </c:pt>
                <c:pt idx="936">
                  <c:v>-7.4351217380548258</c:v>
                </c:pt>
                <c:pt idx="937">
                  <c:v>-7.4471619763182373</c:v>
                </c:pt>
                <c:pt idx="938">
                  <c:v>-7.4592022387344477</c:v>
                </c:pt>
                <c:pt idx="939">
                  <c:v>-7.4712425253030768</c:v>
                </c:pt>
                <c:pt idx="940">
                  <c:v>-7.4832828360237453</c:v>
                </c:pt>
                <c:pt idx="941">
                  <c:v>-7.4953231708960733</c:v>
                </c:pt>
                <c:pt idx="942">
                  <c:v>-7.5073635299196804</c:v>
                </c:pt>
                <c:pt idx="943">
                  <c:v>-7.5194039130941865</c:v>
                </c:pt>
                <c:pt idx="944">
                  <c:v>-7.5314443204192116</c:v>
                </c:pt>
                <c:pt idx="945">
                  <c:v>-7.5434847518943764</c:v>
                </c:pt>
                <c:pt idx="946">
                  <c:v>-7.5555252075193007</c:v>
                </c:pt>
                <c:pt idx="947">
                  <c:v>-7.5675656872936052</c:v>
                </c:pt>
                <c:pt idx="948">
                  <c:v>-7.579606191216909</c:v>
                </c:pt>
                <c:pt idx="949">
                  <c:v>-7.5916467192888328</c:v>
                </c:pt>
                <c:pt idx="950">
                  <c:v>-7.6036872715089974</c:v>
                </c:pt>
                <c:pt idx="951">
                  <c:v>-7.6157278478770216</c:v>
                </c:pt>
                <c:pt idx="952">
                  <c:v>-7.6277684483925263</c:v>
                </c:pt>
                <c:pt idx="953">
                  <c:v>-7.6398090730551313</c:v>
                </c:pt>
                <c:pt idx="954">
                  <c:v>-7.6518497218644566</c:v>
                </c:pt>
                <c:pt idx="955">
                  <c:v>-7.6638903948201227</c:v>
                </c:pt>
                <c:pt idx="956">
                  <c:v>-7.6759310919217496</c:v>
                </c:pt>
                <c:pt idx="957">
                  <c:v>-7.6879718131689572</c:v>
                </c:pt>
                <c:pt idx="958">
                  <c:v>-7.7000125585613661</c:v>
                </c:pt>
                <c:pt idx="959">
                  <c:v>-7.7120533280985963</c:v>
                </c:pt>
                <c:pt idx="960">
                  <c:v>-7.7240941217802677</c:v>
                </c:pt>
                <c:pt idx="961">
                  <c:v>-7.7361349396060008</c:v>
                </c:pt>
                <c:pt idx="962">
                  <c:v>-7.7481757815754158</c:v>
                </c:pt>
                <c:pt idx="963">
                  <c:v>-7.7602166476881322</c:v>
                </c:pt>
                <c:pt idx="964">
                  <c:v>-7.7722575379437711</c:v>
                </c:pt>
                <c:pt idx="965">
                  <c:v>-7.7842984523419521</c:v>
                </c:pt>
                <c:pt idx="966">
                  <c:v>-7.7963393908822951</c:v>
                </c:pt>
                <c:pt idx="967">
                  <c:v>-7.8083803535644201</c:v>
                </c:pt>
                <c:pt idx="968">
                  <c:v>-7.8204213403879477</c:v>
                </c:pt>
                <c:pt idx="969">
                  <c:v>-7.8324623513524987</c:v>
                </c:pt>
                <c:pt idx="970">
                  <c:v>-7.8445033864576921</c:v>
                </c:pt>
                <c:pt idx="971">
                  <c:v>-7.8565444457031495</c:v>
                </c:pt>
                <c:pt idx="972">
                  <c:v>-7.8685855290884898</c:v>
                </c:pt>
                <c:pt idx="973">
                  <c:v>-7.880626636613334</c:v>
                </c:pt>
                <c:pt idx="974">
                  <c:v>-7.8926677682773017</c:v>
                </c:pt>
                <c:pt idx="975">
                  <c:v>-7.9047089240800128</c:v>
                </c:pt>
                <c:pt idx="976">
                  <c:v>-7.9167501040210881</c:v>
                </c:pt>
                <c:pt idx="977">
                  <c:v>-7.9287913081001475</c:v>
                </c:pt>
                <c:pt idx="978">
                  <c:v>-7.9408325363168117</c:v>
                </c:pt>
                <c:pt idx="979">
                  <c:v>-7.9528737886707006</c:v>
                </c:pt>
                <c:pt idx="980">
                  <c:v>-7.9649150651614349</c:v>
                </c:pt>
                <c:pt idx="981">
                  <c:v>-7.9769563657886335</c:v>
                </c:pt>
                <c:pt idx="982">
                  <c:v>-7.9889976905519182</c:v>
                </c:pt>
                <c:pt idx="983">
                  <c:v>-8.0010390394509088</c:v>
                </c:pt>
                <c:pt idx="984">
                  <c:v>-8.0130804124852251</c:v>
                </c:pt>
                <c:pt idx="985">
                  <c:v>-8.0251218096544861</c:v>
                </c:pt>
                <c:pt idx="986">
                  <c:v>-8.0371632309583134</c:v>
                </c:pt>
                <c:pt idx="987">
                  <c:v>-8.049204676396327</c:v>
                </c:pt>
                <c:pt idx="988">
                  <c:v>-8.0612461459681484</c:v>
                </c:pt>
                <c:pt idx="989">
                  <c:v>-8.0732876396733957</c:v>
                </c:pt>
                <c:pt idx="990">
                  <c:v>-8.0853291575116906</c:v>
                </c:pt>
                <c:pt idx="991">
                  <c:v>-8.0973706994826529</c:v>
                </c:pt>
                <c:pt idx="992">
                  <c:v>-8.1094122655859024</c:v>
                </c:pt>
                <c:pt idx="993">
                  <c:v>-8.1214538558210609</c:v>
                </c:pt>
                <c:pt idx="994">
                  <c:v>-8.1334954701877464</c:v>
                </c:pt>
                <c:pt idx="995">
                  <c:v>-8.1455371086855806</c:v>
                </c:pt>
                <c:pt idx="996">
                  <c:v>-8.1575787713141832</c:v>
                </c:pt>
                <c:pt idx="997">
                  <c:v>-8.1696204580731742</c:v>
                </c:pt>
                <c:pt idx="998">
                  <c:v>-8.1816621689621751</c:v>
                </c:pt>
                <c:pt idx="999">
                  <c:v>-8.1937039039808059</c:v>
                </c:pt>
                <c:pt idx="1000">
                  <c:v>-8.2057456631286865</c:v>
                </c:pt>
              </c:numCache>
            </c:numRef>
          </c:yVal>
          <c:smooth val="1"/>
          <c:extLst>
            <c:ext xmlns:c16="http://schemas.microsoft.com/office/drawing/2014/chart" uri="{C3380CC4-5D6E-409C-BE32-E72D297353CC}">
              <c16:uniqueId val="{00000001-432A-49A9-9499-7ED3E32DDB07}"/>
            </c:ext>
          </c:extLst>
        </c:ser>
        <c:ser>
          <c:idx val="2"/>
          <c:order val="2"/>
          <c:tx>
            <c:strRef>
              <c:f>Trajecto!$B$108</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0</c:v>
                </c:pt>
                <c:pt idx="1">
                  <c:v>1.5466682646042036E-4</c:v>
                </c:pt>
                <c:pt idx="2">
                  <c:v>1.2827765753580481E-3</c:v>
                </c:pt>
                <c:pt idx="3">
                  <c:v>4.4531509330487957E-3</c:v>
                </c:pt>
                <c:pt idx="4">
                  <c:v>1.0028219662065109E-2</c:v>
                </c:pt>
                <c:pt idx="5">
                  <c:v>1.7923312814990607E-2</c:v>
                </c:pt>
                <c:pt idx="6">
                  <c:v>2.8079428219716103E-2</c:v>
                </c:pt>
                <c:pt idx="7">
                  <c:v>4.0489179643795947E-2</c:v>
                </c:pt>
                <c:pt idx="8">
                  <c:v>5.517102913582754E-2</c:v>
                </c:pt>
                <c:pt idx="9">
                  <c:v>7.2143448070533217E-2</c:v>
                </c:pt>
                <c:pt idx="10">
                  <c:v>9.1424916775907347E-2</c:v>
                </c:pt>
                <c:pt idx="11">
                  <c:v>0.11303123865041255</c:v>
                </c:pt>
                <c:pt idx="12">
                  <c:v>0.13697284691545319</c:v>
                </c:pt>
                <c:pt idx="13">
                  <c:v>0.1632574788862903</c:v>
                </c:pt>
                <c:pt idx="14">
                  <c:v>0.19189285766067149</c:v>
                </c:pt>
                <c:pt idx="15">
                  <c:v>0.22288669184838061</c:v>
                </c:pt>
                <c:pt idx="16">
                  <c:v>0.25624667529992717</c:v>
                </c:pt>
                <c:pt idx="17">
                  <c:v>0.2919804868343952</c:v>
                </c:pt>
                <c:pt idx="18">
                  <c:v>0.33009578996647226</c:v>
                </c:pt>
                <c:pt idx="19">
                  <c:v>0.37060023263267883</c:v>
                </c:pt>
                <c:pt idx="20">
                  <c:v>0.41350144691681856</c:v>
                </c:pt>
                <c:pt idx="21">
                  <c:v>0.45880597072539658</c:v>
                </c:pt>
                <c:pt idx="22">
                  <c:v>0.50651816656771187</c:v>
                </c:pt>
                <c:pt idx="23">
                  <c:v>0.55664129515600402</c:v>
                </c:pt>
                <c:pt idx="24">
                  <c:v>0.60917859195685786</c:v>
                </c:pt>
                <c:pt idx="25">
                  <c:v>0.66413326702857223</c:v>
                </c:pt>
                <c:pt idx="26">
                  <c:v>0.7215085048594142</c:v>
                </c:pt>
                <c:pt idx="27">
                  <c:v>0.78139140642099358</c:v>
                </c:pt>
                <c:pt idx="28">
                  <c:v>0.84387255236072967</c:v>
                </c:pt>
                <c:pt idx="29">
                  <c:v>0.90896200491883627</c:v>
                </c:pt>
                <c:pt idx="30">
                  <c:v>0.97666963368661031</c:v>
                </c:pt>
                <c:pt idx="31">
                  <c:v>1.0470050679452119</c:v>
                </c:pt>
                <c:pt idx="32">
                  <c:v>1.119977710791314</c:v>
                </c:pt>
                <c:pt idx="33">
                  <c:v>1.1955967518550412</c:v>
                </c:pt>
                <c:pt idx="34">
                  <c:v>1.2738711787892512</c:v>
                </c:pt>
                <c:pt idx="35">
                  <c:v>1.3548097876816083</c:v>
                </c:pt>
                <c:pt idx="36">
                  <c:v>1.4384211925182515</c:v>
                </c:pt>
                <c:pt idx="37">
                  <c:v>1.524713833809163</c:v>
                </c:pt>
                <c:pt idx="38">
                  <c:v>1.6136959864698202</c:v>
                </c:pt>
                <c:pt idx="39">
                  <c:v>1.7053757670407457</c:v>
                </c:pt>
                <c:pt idx="40">
                  <c:v>1.7997611403156846</c:v>
                </c:pt>
                <c:pt idx="41">
                  <c:v>1.8968590590117396</c:v>
                </c:pt>
                <c:pt idx="42">
                  <c:v>1.9966745962693704</c:v>
                </c:pt>
                <c:pt idx="43">
                  <c:v>2.0992118084816891</c:v>
                </c:pt>
                <c:pt idx="44">
                  <c:v>2.2044746047471295</c:v>
                </c:pt>
                <c:pt idx="45">
                  <c:v>2.3124667519378357</c:v>
                </c:pt>
                <c:pt idx="46">
                  <c:v>2.4231918794114309</c:v>
                </c:pt>
                <c:pt idx="47">
                  <c:v>2.5366534833990433</c:v>
                </c:pt>
                <c:pt idx="48">
                  <c:v>2.6528549310987781</c:v>
                </c:pt>
                <c:pt idx="49">
                  <c:v>2.7717994645006239</c:v>
                </c:pt>
                <c:pt idx="50">
                  <c:v>2.8934902039660022</c:v>
                </c:pt>
                <c:pt idx="51">
                  <c:v>3.0179301515827279</c:v>
                </c:pt>
                <c:pt idx="52">
                  <c:v>3.1451221943140175</c:v>
                </c:pt>
                <c:pt idx="53">
                  <c:v>3.2750691069583064</c:v>
                </c:pt>
                <c:pt idx="54">
                  <c:v>3.4077735549349826</c:v>
                </c:pt>
                <c:pt idx="55">
                  <c:v>3.5432380969096831</c:v>
                </c:pt>
                <c:pt idx="56">
                  <c:v>3.681465187271503</c:v>
                </c:pt>
                <c:pt idx="57">
                  <c:v>3.8224571784733232</c:v>
                </c:pt>
                <c:pt idx="58">
                  <c:v>3.9662163232454315</c:v>
                </c:pt>
                <c:pt idx="59">
                  <c:v>4.112744776691704</c:v>
                </c:pt>
                <c:pt idx="60">
                  <c:v>4.2620445982767983</c:v>
                </c:pt>
                <c:pt idx="61">
                  <c:v>4.4141177537120688</c:v>
                </c:pt>
                <c:pt idx="62">
                  <c:v>4.5689661167472773</c:v>
                </c:pt>
                <c:pt idx="63">
                  <c:v>4.7265914708745562</c:v>
                </c:pt>
                <c:pt idx="64">
                  <c:v>4.8869955109505678</c:v>
                </c:pt>
                <c:pt idx="65">
                  <c:v>5.0501798447423214</c:v>
                </c:pt>
                <c:pt idx="66">
                  <c:v>5.2161459944016579</c:v>
                </c:pt>
                <c:pt idx="67">
                  <c:v>5.3848953978730485</c:v>
                </c:pt>
                <c:pt idx="68">
                  <c:v>5.5564294102389598</c:v>
                </c:pt>
                <c:pt idx="69">
                  <c:v>5.7307493050067473</c:v>
                </c:pt>
                <c:pt idx="70">
                  <c:v>5.9078562753407189</c:v>
                </c:pt>
                <c:pt idx="71">
                  <c:v>6.0877514352427573</c:v>
                </c:pt>
                <c:pt idx="72">
                  <c:v>6.2704358206846313</c:v>
                </c:pt>
                <c:pt idx="73">
                  <c:v>6.4559103906949096</c:v>
                </c:pt>
                <c:pt idx="74">
                  <c:v>6.6441760284031837</c:v>
                </c:pt>
                <c:pt idx="75">
                  <c:v>6.8352335420441133</c:v>
                </c:pt>
                <c:pt idx="76">
                  <c:v>7.0290836659236424</c:v>
                </c:pt>
                <c:pt idx="77">
                  <c:v>7.2257270613495672</c:v>
                </c:pt>
                <c:pt idx="78">
                  <c:v>7.4251643175284947</c:v>
                </c:pt>
                <c:pt idx="79">
                  <c:v>7.6273959524310975</c:v>
                </c:pt>
                <c:pt idx="80">
                  <c:v>7.832422413627441</c:v>
                </c:pt>
                <c:pt idx="81">
                  <c:v>8.0402431523805014</c:v>
                </c:pt>
                <c:pt idx="82">
                  <c:v>8.2508556935153177</c:v>
                </c:pt>
                <c:pt idx="83">
                  <c:v>8.4642565576086248</c:v>
                </c:pt>
                <c:pt idx="84">
                  <c:v>8.6804421875010895</c:v>
                </c:pt>
                <c:pt idx="85">
                  <c:v>8.899408949300847</c:v>
                </c:pt>
                <c:pt idx="86">
                  <c:v>9.1211531333604228</c:v>
                </c:pt>
                <c:pt idx="87">
                  <c:v>9.34567095522846</c:v>
                </c:pt>
                <c:pt idx="88">
                  <c:v>9.5729585565776087</c:v>
                </c:pt>
                <c:pt idx="89">
                  <c:v>9.8030120061098298</c:v>
                </c:pt>
                <c:pt idx="90">
                  <c:v>10.035827300440305</c:v>
                </c:pt>
                <c:pt idx="91">
                  <c:v>10.271399951776486</c:v>
                </c:pt>
                <c:pt idx="92">
                  <c:v>10.509724573900202</c:v>
                </c:pt>
                <c:pt idx="93">
                  <c:v>10.750795294122707</c:v>
                </c:pt>
                <c:pt idx="94">
                  <c:v>10.994606166963036</c:v>
                </c:pt>
                <c:pt idx="95">
                  <c:v>11.241151175065296</c:v>
                </c:pt>
                <c:pt idx="96">
                  <c:v>11.490424230098485</c:v>
                </c:pt>
                <c:pt idx="97">
                  <c:v>11.742419173639718</c:v>
                </c:pt>
                <c:pt idx="98">
                  <c:v>11.997129778041645</c:v>
                </c:pt>
                <c:pt idx="99">
                  <c:v>12.254549747284823</c:v>
                </c:pt>
                <c:pt idx="100">
                  <c:v>12.514672717815754</c:v>
                </c:pt>
                <c:pt idx="101">
                  <c:v>12.777492192737732</c:v>
                </c:pt>
                <c:pt idx="102">
                  <c:v>13.04300147574609</c:v>
                </c:pt>
                <c:pt idx="103">
                  <c:v>13.311193738272905</c:v>
                </c:pt>
                <c:pt idx="104">
                  <c:v>13.58206208687192</c:v>
                </c:pt>
                <c:pt idx="105">
                  <c:v>13.85559956401316</c:v>
                </c:pt>
                <c:pt idx="106">
                  <c:v>14.131799148866474</c:v>
                </c:pt>
                <c:pt idx="107">
                  <c:v>14.410653758074503</c:v>
                </c:pt>
                <c:pt idx="108">
                  <c:v>14.692156246515493</c:v>
                </c:pt>
                <c:pt idx="109">
                  <c:v>14.976299408056425</c:v>
                </c:pt>
                <c:pt idx="110">
                  <c:v>15.263075976296829</c:v>
                </c:pt>
                <c:pt idx="111">
                  <c:v>15.552479398285012</c:v>
                </c:pt>
                <c:pt idx="112">
                  <c:v>15.844504610752535</c:v>
                </c:pt>
                <c:pt idx="113">
                  <c:v>16.139147270734522</c:v>
                </c:pt>
                <c:pt idx="114">
                  <c:v>16.436402983555578</c:v>
                </c:pt>
                <c:pt idx="115">
                  <c:v>16.736267303334071</c:v>
                </c:pt>
                <c:pt idx="116">
                  <c:v>17.038735733481161</c:v>
                </c:pt>
                <c:pt idx="117">
                  <c:v>17.343803727194747</c:v>
                </c:pt>
                <c:pt idx="118">
                  <c:v>17.651466687948577</c:v>
                </c:pt>
                <c:pt idx="119">
                  <c:v>17.961719969976727</c:v>
                </c:pt>
                <c:pt idx="120">
                  <c:v>18.274558878753584</c:v>
                </c:pt>
                <c:pt idx="121">
                  <c:v>18.589977380436025</c:v>
                </c:pt>
                <c:pt idx="122">
                  <c:v>18.907966807484847</c:v>
                </c:pt>
                <c:pt idx="123">
                  <c:v>19.228517146010393</c:v>
                </c:pt>
                <c:pt idx="124">
                  <c:v>19.551618327092751</c:v>
                </c:pt>
                <c:pt idx="125">
                  <c:v>19.877260227563809</c:v>
                </c:pt>
                <c:pt idx="126">
                  <c:v>20.205432670782745</c:v>
                </c:pt>
                <c:pt idx="127">
                  <c:v>20.536125427405086</c:v>
                </c:pt>
                <c:pt idx="128">
                  <c:v>20.869328216145565</c:v>
                </c:pt>
                <c:pt idx="129">
                  <c:v>21.205030704534902</c:v>
                </c:pt>
                <c:pt idx="130">
                  <c:v>21.543222509670677</c:v>
                </c:pt>
                <c:pt idx="131">
                  <c:v>21.883892858766007</c:v>
                </c:pt>
                <c:pt idx="132">
                  <c:v>22.227030248803541</c:v>
                </c:pt>
                <c:pt idx="133">
                  <c:v>22.572622786562697</c:v>
                </c:pt>
                <c:pt idx="134">
                  <c:v>22.920658529573885</c:v>
                </c:pt>
                <c:pt idx="135">
                  <c:v>23.271125486927964</c:v>
                </c:pt>
                <c:pt idx="136">
                  <c:v>23.624011620079681</c:v>
                </c:pt>
                <c:pt idx="137">
                  <c:v>23.979304843645178</c:v>
                </c:pt>
                <c:pt idx="138">
                  <c:v>24.336993026193664</c:v>
                </c:pt>
                <c:pt idx="139">
                  <c:v>24.697063991033367</c:v>
                </c:pt>
                <c:pt idx="140">
                  <c:v>25.05950551699183</c:v>
                </c:pt>
                <c:pt idx="141">
                  <c:v>25.424301246724202</c:v>
                </c:pt>
                <c:pt idx="142">
                  <c:v>25.791426585732204</c:v>
                </c:pt>
                <c:pt idx="143">
                  <c:v>26.160852787100943</c:v>
                </c:pt>
                <c:pt idx="144">
                  <c:v>26.532551046109923</c:v>
                </c:pt>
                <c:pt idx="145">
                  <c:v>26.906492502169936</c:v>
                </c:pt>
                <c:pt idx="146">
                  <c:v>27.282648240739224</c:v>
                </c:pt>
                <c:pt idx="147">
                  <c:v>27.660989295218975</c:v>
                </c:pt>
                <c:pt idx="148">
                  <c:v>28.041486648828272</c:v>
                </c:pt>
                <c:pt idx="149">
                  <c:v>28.424111236458547</c:v>
                </c:pt>
                <c:pt idx="150">
                  <c:v>28.80883394650764</c:v>
                </c:pt>
                <c:pt idx="151">
                  <c:v>29.195625622693495</c:v>
                </c:pt>
                <c:pt idx="152">
                  <c:v>29.584457065847566</c:v>
                </c:pt>
                <c:pt idx="153">
                  <c:v>29.975299035687971</c:v>
                </c:pt>
                <c:pt idx="154">
                  <c:v>30.368122252572444</c:v>
                </c:pt>
                <c:pt idx="155">
                  <c:v>30.762897399231115</c:v>
                </c:pt>
                <c:pt idx="156">
                  <c:v>31.15957557692801</c:v>
                </c:pt>
                <c:pt idx="157">
                  <c:v>31.558068732611392</c:v>
                </c:pt>
                <c:pt idx="158">
                  <c:v>31.958269191569755</c:v>
                </c:pt>
                <c:pt idx="159">
                  <c:v>32.360069224180066</c:v>
                </c:pt>
                <c:pt idx="160">
                  <c:v>32.763361057674068</c:v>
                </c:pt>
                <c:pt idx="161">
                  <c:v>33.168011973610334</c:v>
                </c:pt>
                <c:pt idx="162">
                  <c:v>33.573839387799282</c:v>
                </c:pt>
                <c:pt idx="163">
                  <c:v>33.980638168332426</c:v>
                </c:pt>
                <c:pt idx="164">
                  <c:v>34.388207983381392</c:v>
                </c:pt>
                <c:pt idx="165">
                  <c:v>34.796374801387309</c:v>
                </c:pt>
                <c:pt idx="166">
                  <c:v>35.205012385849166</c:v>
                </c:pt>
                <c:pt idx="167">
                  <c:v>35.614000288973365</c:v>
                </c:pt>
                <c:pt idx="168">
                  <c:v>36.023194977837335</c:v>
                </c:pt>
                <c:pt idx="169">
                  <c:v>36.432410499023142</c:v>
                </c:pt>
                <c:pt idx="170">
                  <c:v>36.841412331116544</c:v>
                </c:pt>
                <c:pt idx="171">
                  <c:v>37.250036299377363</c:v>
                </c:pt>
                <c:pt idx="172">
                  <c:v>37.65824161807847</c:v>
                </c:pt>
                <c:pt idx="173">
                  <c:v>38.066029424153669</c:v>
                </c:pt>
                <c:pt idx="174">
                  <c:v>38.473400850163571</c:v>
                </c:pt>
                <c:pt idx="175">
                  <c:v>38.880357024318521</c:v>
                </c:pt>
                <c:pt idx="176">
                  <c:v>39.286899070501356</c:v>
                </c:pt>
                <c:pt idx="177">
                  <c:v>39.693028108290036</c:v>
                </c:pt>
                <c:pt idx="178">
                  <c:v>40.098745252980123</c:v>
                </c:pt>
                <c:pt idx="179">
                  <c:v>40.504051615607096</c:v>
                </c:pt>
                <c:pt idx="180">
                  <c:v>40.90894830296854</c:v>
                </c:pt>
                <c:pt idx="181">
                  <c:v>41.31343641764618</c:v>
                </c:pt>
                <c:pt idx="182">
                  <c:v>41.717517058027774</c:v>
                </c:pt>
                <c:pt idx="183">
                  <c:v>42.121191318328869</c:v>
                </c:pt>
                <c:pt idx="184">
                  <c:v>42.524460288614392</c:v>
                </c:pt>
                <c:pt idx="185">
                  <c:v>42.927325054820145</c:v>
                </c:pt>
                <c:pt idx="186">
                  <c:v>43.329786698774122</c:v>
                </c:pt>
                <c:pt idx="187">
                  <c:v>43.73184629821769</c:v>
                </c:pt>
                <c:pt idx="188">
                  <c:v>44.133504926826667</c:v>
                </c:pt>
                <c:pt idx="189">
                  <c:v>44.534763654232222</c:v>
                </c:pt>
                <c:pt idx="190">
                  <c:v>44.935623546041661</c:v>
                </c:pt>
                <c:pt idx="191">
                  <c:v>45.336085663859087</c:v>
                </c:pt>
                <c:pt idx="192">
                  <c:v>45.736151065305918</c:v>
                </c:pt>
                <c:pt idx="193">
                  <c:v>46.135820804041252</c:v>
                </c:pt>
                <c:pt idx="194">
                  <c:v>46.535095929782145</c:v>
                </c:pt>
                <c:pt idx="195">
                  <c:v>46.933977488323727</c:v>
                </c:pt>
                <c:pt idx="196">
                  <c:v>47.332466521559198</c:v>
                </c:pt>
                <c:pt idx="197">
                  <c:v>47.730564067499699</c:v>
                </c:pt>
                <c:pt idx="198">
                  <c:v>48.128271160294055</c:v>
                </c:pt>
                <c:pt idx="199">
                  <c:v>48.525588830248381</c:v>
                </c:pt>
                <c:pt idx="200">
                  <c:v>48.922518103845583</c:v>
                </c:pt>
                <c:pt idx="201">
                  <c:v>52.870528255118991</c:v>
                </c:pt>
                <c:pt idx="202">
                  <c:v>56.780357001974451</c:v>
                </c:pt>
                <c:pt idx="203">
                  <c:v>60.652995839763321</c:v>
                </c:pt>
                <c:pt idx="204">
                  <c:v>64.489400460335077</c:v>
                </c:pt>
                <c:pt idx="205">
                  <c:v>68.290492502825103</c:v>
                </c:pt>
                <c:pt idx="206">
                  <c:v>72.057161198226339</c:v>
                </c:pt>
                <c:pt idx="207">
                  <c:v>75.790264915430214</c:v>
                </c:pt>
                <c:pt idx="208">
                  <c:v>79.490632615778807</c:v>
                </c:pt>
                <c:pt idx="209">
                  <c:v>83.159065222587358</c:v>
                </c:pt>
                <c:pt idx="210">
                  <c:v>86.79633691156809</c:v>
                </c:pt>
                <c:pt idx="211">
                  <c:v>90.403196327607446</c:v>
                </c:pt>
                <c:pt idx="212">
                  <c:v>93.980367732913194</c:v>
                </c:pt>
                <c:pt idx="213">
                  <c:v>97.528552091152335</c:v>
                </c:pt>
                <c:pt idx="214">
                  <c:v>101.04842809183992</c:v>
                </c:pt>
                <c:pt idx="215">
                  <c:v>104.54065311891063</c:v>
                </c:pt>
                <c:pt idx="216">
                  <c:v>108.00586416710466</c:v>
                </c:pt>
                <c:pt idx="217">
                  <c:v>111.44467870952609</c:v>
                </c:pt>
                <c:pt idx="218">
                  <c:v>114.85769551948071</c:v>
                </c:pt>
                <c:pt idx="219">
                  <c:v>118.24549544947166</c:v>
                </c:pt>
                <c:pt idx="220">
                  <c:v>121.60864217002043</c:v>
                </c:pt>
                <c:pt idx="221">
                  <c:v>124.94768287078858</c:v>
                </c:pt>
                <c:pt idx="222">
                  <c:v>128.26314892629827</c:v>
                </c:pt>
                <c:pt idx="223">
                  <c:v>131.55555652838711</c:v>
                </c:pt>
                <c:pt idx="224">
                  <c:v>134.82540728738337</c:v>
                </c:pt>
                <c:pt idx="225">
                  <c:v>138.07318880384986</c:v>
                </c:pt>
                <c:pt idx="226">
                  <c:v>141.29937521261792</c:v>
                </c:pt>
                <c:pt idx="227">
                  <c:v>144.50442770071584</c:v>
                </c:pt>
                <c:pt idx="228">
                  <c:v>147.68879500068826</c:v>
                </c:pt>
                <c:pt idx="229">
                  <c:v>150.85291386070318</c:v>
                </c:pt>
                <c:pt idx="230">
                  <c:v>153.99720949275104</c:v>
                </c:pt>
                <c:pt idx="231">
                  <c:v>157.12209600015493</c:v>
                </c:pt>
                <c:pt idx="232">
                  <c:v>160.22797678553221</c:v>
                </c:pt>
                <c:pt idx="233">
                  <c:v>163.31524494027425</c:v>
                </c:pt>
                <c:pt idx="234">
                  <c:v>166.38428361654334</c:v>
                </c:pt>
                <c:pt idx="235">
                  <c:v>169.43546638272286</c:v>
                </c:pt>
                <c:pt idx="236">
                  <c:v>172.469157563198</c:v>
                </c:pt>
                <c:pt idx="237">
                  <c:v>175.48571256329006</c:v>
                </c:pt>
                <c:pt idx="238">
                  <c:v>178.4854781801171</c:v>
                </c:pt>
                <c:pt idx="239">
                  <c:v>181.4687929001058</c:v>
                </c:pt>
                <c:pt idx="240">
                  <c:v>184.43598718383649</c:v>
                </c:pt>
                <c:pt idx="241">
                  <c:v>187.38738373886162</c:v>
                </c:pt>
                <c:pt idx="242">
                  <c:v>190.32329778110037</c:v>
                </c:pt>
                <c:pt idx="243">
                  <c:v>193.24403728537609</c:v>
                </c:pt>
                <c:pt idx="244">
                  <c:v>196.1499032256304</c:v>
                </c:pt>
                <c:pt idx="245">
                  <c:v>199.04118980531626</c:v>
                </c:pt>
                <c:pt idx="246">
                  <c:v>201.91818467844374</c:v>
                </c:pt>
                <c:pt idx="247">
                  <c:v>204.78116916172453</c:v>
                </c:pt>
                <c:pt idx="248">
                  <c:v>207.63041843823618</c:v>
                </c:pt>
                <c:pt idx="249">
                  <c:v>210.46620175300271</c:v>
                </c:pt>
                <c:pt idx="250">
                  <c:v>213.28878260086654</c:v>
                </c:pt>
                <c:pt idx="251">
                  <c:v>216.09841890700457</c:v>
                </c:pt>
                <c:pt idx="252">
                  <c:v>218.89536320042262</c:v>
                </c:pt>
                <c:pt idx="253">
                  <c:v>221.67986278074312</c:v>
                </c:pt>
                <c:pt idx="254">
                  <c:v>224.45215987858361</c:v>
                </c:pt>
                <c:pt idx="255">
                  <c:v>227.21249180980737</c:v>
                </c:pt>
                <c:pt idx="256">
                  <c:v>229.96109112391161</c:v>
                </c:pt>
                <c:pt idx="257">
                  <c:v>232.69818574680446</c:v>
                </c:pt>
                <c:pt idx="258">
                  <c:v>235.42399911820752</c:v>
                </c:pt>
                <c:pt idx="259">
                  <c:v>238.1387503239084</c:v>
                </c:pt>
                <c:pt idx="260">
                  <c:v>240.84265422307465</c:v>
                </c:pt>
                <c:pt idx="261">
                  <c:v>243.5359215708292</c:v>
                </c:pt>
                <c:pt idx="262">
                  <c:v>246.21875913627591</c:v>
                </c:pt>
                <c:pt idx="263">
                  <c:v>248.89136981615346</c:v>
                </c:pt>
                <c:pt idx="264">
                  <c:v>251.55395274428588</c:v>
                </c:pt>
                <c:pt idx="265">
                  <c:v>254.20670339698805</c:v>
                </c:pt>
                <c:pt idx="266">
                  <c:v>256.8498136945754</c:v>
                </c:pt>
                <c:pt idx="267">
                  <c:v>259.48347209911867</c:v>
                </c:pt>
                <c:pt idx="268">
                  <c:v>262.10786370857539</c:v>
                </c:pt>
                <c:pt idx="269">
                  <c:v>264.72317034742252</c:v>
                </c:pt>
                <c:pt idx="270">
                  <c:v>267.32957065390627</c:v>
                </c:pt>
                <c:pt idx="271">
                  <c:v>269.92724016401752</c:v>
                </c:pt>
                <c:pt idx="272">
                  <c:v>272.5163513922945</c:v>
                </c:pt>
                <c:pt idx="273">
                  <c:v>275.09707390954679</c:v>
                </c:pt>
                <c:pt idx="274">
                  <c:v>277.66957441758791</c:v>
                </c:pt>
                <c:pt idx="275">
                  <c:v>280.23401682105691</c:v>
                </c:pt>
                <c:pt idx="276">
                  <c:v>282.79056229640287</c:v>
                </c:pt>
                <c:pt idx="277">
                  <c:v>285.33936935809908</c:v>
                </c:pt>
                <c:pt idx="278">
                  <c:v>287.88059392214825</c:v>
                </c:pt>
                <c:pt idx="279">
                  <c:v>290.41438936693203</c:v>
                </c:pt>
                <c:pt idx="280">
                  <c:v>292.94090659145286</c:v>
                </c:pt>
                <c:pt idx="281">
                  <c:v>295.46029407100906</c:v>
                </c:pt>
                <c:pt idx="282">
                  <c:v>297.97269791033739</c:v>
                </c:pt>
                <c:pt idx="283">
                  <c:v>300.47826189425103</c:v>
                </c:pt>
                <c:pt idx="284">
                  <c:v>302.97712753579327</c:v>
                </c:pt>
                <c:pt idx="285">
                  <c:v>305.46943412192121</c:v>
                </c:pt>
                <c:pt idx="286">
                  <c:v>307.95531875672532</c:v>
                </c:pt>
                <c:pt idx="287">
                  <c:v>310.43491640218474</c:v>
                </c:pt>
                <c:pt idx="288">
                  <c:v>312.90835991644866</c:v>
                </c:pt>
                <c:pt idx="289">
                  <c:v>315.37578008962794</c:v>
                </c:pt>
                <c:pt idx="290">
                  <c:v>317.83730567707096</c:v>
                </c:pt>
                <c:pt idx="291">
                  <c:v>320.29306343009023</c:v>
                </c:pt>
                <c:pt idx="292">
                  <c:v>322.74317812409652</c:v>
                </c:pt>
                <c:pt idx="293">
                  <c:v>325.18777258408687</c:v>
                </c:pt>
                <c:pt idx="294">
                  <c:v>327.6269677074244</c:v>
                </c:pt>
                <c:pt idx="295">
                  <c:v>330.06088248383475</c:v>
                </c:pt>
                <c:pt idx="296">
                  <c:v>332.48963401253462</c:v>
                </c:pt>
                <c:pt idx="297">
                  <c:v>334.91333751639507</c:v>
                </c:pt>
                <c:pt idx="298">
                  <c:v>337.33210635302959</c:v>
                </c:pt>
                <c:pt idx="299">
                  <c:v>339.74605202268435</c:v>
                </c:pt>
                <c:pt idx="300">
                  <c:v>342.1552841727941</c:v>
                </c:pt>
                <c:pt idx="301">
                  <c:v>344.55991059905296</c:v>
                </c:pt>
                <c:pt idx="302">
                  <c:v>346.96003724283537</c:v>
                </c:pt>
                <c:pt idx="303">
                  <c:v>349.35576818478688</c:v>
                </c:pt>
                <c:pt idx="304">
                  <c:v>351.74720563439007</c:v>
                </c:pt>
                <c:pt idx="305">
                  <c:v>354.13444991529639</c:v>
                </c:pt>
                <c:pt idx="306">
                  <c:v>356.51759944619988</c:v>
                </c:pt>
                <c:pt idx="307">
                  <c:v>358.89675071701669</c:v>
                </c:pt>
                <c:pt idx="308">
                  <c:v>361.27199826012156</c:v>
                </c:pt>
                <c:pt idx="309">
                  <c:v>363.64343461638458</c:v>
                </c:pt>
                <c:pt idx="310">
                  <c:v>366.01115029574453</c:v>
                </c:pt>
                <c:pt idx="311">
                  <c:v>368.37523373205465</c:v>
                </c:pt>
                <c:pt idx="312">
                  <c:v>370.73577123194065</c:v>
                </c:pt>
                <c:pt idx="313">
                  <c:v>373.09284691742266</c:v>
                </c:pt>
                <c:pt idx="314">
                  <c:v>375.44654266207425</c:v>
                </c:pt>
                <c:pt idx="315">
                  <c:v>377.79693802052509</c:v>
                </c:pt>
                <c:pt idx="316">
                  <c:v>380.14411015116002</c:v>
                </c:pt>
                <c:pt idx="317">
                  <c:v>382.48813373193258</c:v>
                </c:pt>
                <c:pt idx="318">
                  <c:v>384.82908086929353</c:v>
                </c:pt>
                <c:pt idx="319">
                  <c:v>387.1670210003428</c:v>
                </c:pt>
                <c:pt idx="320">
                  <c:v>389.50202078844274</c:v>
                </c:pt>
                <c:pt idx="321">
                  <c:v>391.83414401269113</c:v>
                </c:pt>
                <c:pt idx="322">
                  <c:v>394.16345145183834</c:v>
                </c:pt>
                <c:pt idx="323">
                  <c:v>396.49000076344709</c:v>
                </c:pt>
                <c:pt idx="324">
                  <c:v>398.81384635933483</c:v>
                </c:pt>
                <c:pt idx="325">
                  <c:v>401.13503927859875</c:v>
                </c:pt>
                <c:pt idx="326">
                  <c:v>403.45362705979647</c:v>
                </c:pt>
                <c:pt idx="327">
                  <c:v>405.76965361413102</c:v>
                </c:pt>
                <c:pt idx="328">
                  <c:v>408.08315910174838</c:v>
                </c:pt>
                <c:pt idx="329">
                  <c:v>410.39417981348521</c:v>
                </c:pt>
                <c:pt idx="330">
                  <c:v>412.70274806058006</c:v>
                </c:pt>
                <c:pt idx="331">
                  <c:v>415.00889207496419</c:v>
                </c:pt>
                <c:pt idx="332">
                  <c:v>417.31263592275707</c:v>
                </c:pt>
                <c:pt idx="333">
                  <c:v>419.61399943349039</c:v>
                </c:pt>
                <c:pt idx="334">
                  <c:v>421.9129981473655</c:v>
                </c:pt>
                <c:pt idx="335">
                  <c:v>424.20964328250903</c:v>
                </c:pt>
                <c:pt idx="336">
                  <c:v>426.50394172374166</c:v>
                </c:pt>
                <c:pt idx="337">
                  <c:v>428.79589603383602</c:v>
                </c:pt>
                <c:pt idx="338">
                  <c:v>431.08550448763862</c:v>
                </c:pt>
                <c:pt idx="339">
                  <c:v>433.37276112880625</c:v>
                </c:pt>
                <c:pt idx="340">
                  <c:v>435.65765584829677</c:v>
                </c:pt>
                <c:pt idx="341">
                  <c:v>437.94017448319499</c:v>
                </c:pt>
                <c:pt idx="342">
                  <c:v>440.22029893397848</c:v>
                </c:pt>
                <c:pt idx="343">
                  <c:v>442.49800729795987</c:v>
                </c:pt>
                <c:pt idx="344">
                  <c:v>444.77327401639207</c:v>
                </c:pt>
                <c:pt idx="345">
                  <c:v>447.04607003259457</c:v>
                </c:pt>
                <c:pt idx="346">
                  <c:v>449.31636295844669</c:v>
                </c:pt>
                <c:pt idx="347">
                  <c:v>451.58411724667798</c:v>
                </c:pt>
                <c:pt idx="348">
                  <c:v>453.84929436655403</c:v>
                </c:pt>
                <c:pt idx="349">
                  <c:v>456.11185298077987</c:v>
                </c:pt>
                <c:pt idx="350">
                  <c:v>458.3717491217065</c:v>
                </c:pt>
                <c:pt idx="351">
                  <c:v>460.62893636520658</c:v>
                </c:pt>
                <c:pt idx="352">
                  <c:v>462.88336600086808</c:v>
                </c:pt>
                <c:pt idx="353">
                  <c:v>465.13498719742654</c:v>
                </c:pt>
                <c:pt idx="354">
                  <c:v>467.3837471626087</c:v>
                </c:pt>
                <c:pt idx="355">
                  <c:v>469.62959129678649</c:v>
                </c:pt>
                <c:pt idx="356">
                  <c:v>471.87246334003834</c:v>
                </c:pt>
                <c:pt idx="357">
                  <c:v>474.11230551238333</c:v>
                </c:pt>
                <c:pt idx="358">
                  <c:v>476.34905864709339</c:v>
                </c:pt>
                <c:pt idx="359">
                  <c:v>478.58266231710252</c:v>
                </c:pt>
                <c:pt idx="360">
                  <c:v>480.81305495462118</c:v>
                </c:pt>
                <c:pt idx="361">
                  <c:v>483.0401739641328</c:v>
                </c:pt>
                <c:pt idx="362">
                  <c:v>485.26395582900034</c:v>
                </c:pt>
                <c:pt idx="363">
                  <c:v>487.48433621194545</c:v>
                </c:pt>
                <c:pt idx="364">
                  <c:v>489.70125004968651</c:v>
                </c:pt>
                <c:pt idx="365">
                  <c:v>491.91463164203498</c:v>
                </c:pt>
                <c:pt idx="366">
                  <c:v>494.12441473575404</c:v>
                </c:pt>
                <c:pt idx="367">
                  <c:v>496.33053260348311</c:v>
                </c:pt>
                <c:pt idx="368">
                  <c:v>498.53291811802575</c:v>
                </c:pt>
                <c:pt idx="369">
                  <c:v>500.73150382228965</c:v>
                </c:pt>
                <c:pt idx="370">
                  <c:v>502.92622199515517</c:v>
                </c:pt>
                <c:pt idx="371">
                  <c:v>505.11700471353703</c:v>
                </c:pt>
                <c:pt idx="372">
                  <c:v>507.30378391088817</c:v>
                </c:pt>
                <c:pt idx="373">
                  <c:v>509.48649143238146</c:v>
                </c:pt>
                <c:pt idx="374">
                  <c:v>511.6650590869894</c:v>
                </c:pt>
                <c:pt idx="375">
                  <c:v>513.83941869666774</c:v>
                </c:pt>
                <c:pt idx="376">
                  <c:v>516.00950214283523</c:v>
                </c:pt>
                <c:pt idx="377">
                  <c:v>518.1752414103272</c:v>
                </c:pt>
                <c:pt idx="378">
                  <c:v>520.33656862898852</c:v>
                </c:pt>
                <c:pt idx="379">
                  <c:v>522.4934161130592</c:v>
                </c:pt>
                <c:pt idx="380">
                  <c:v>524.64571639849373</c:v>
                </c:pt>
                <c:pt idx="381">
                  <c:v>526.7934022783453</c:v>
                </c:pt>
                <c:pt idx="382">
                  <c:v>528.93640683633521</c:v>
                </c:pt>
                <c:pt idx="383">
                  <c:v>531.07466347871923</c:v>
                </c:pt>
                <c:pt idx="384">
                  <c:v>533.20810596455283</c:v>
                </c:pt>
                <c:pt idx="385">
                  <c:v>535.33666843445098</c:v>
                </c:pt>
                <c:pt idx="386">
                  <c:v>537.46028543792897</c:v>
                </c:pt>
                <c:pt idx="387">
                  <c:v>539.57889195940515</c:v>
                </c:pt>
                <c:pt idx="388">
                  <c:v>541.69242344293912</c:v>
                </c:pt>
                <c:pt idx="389">
                  <c:v>543.80081581577497</c:v>
                </c:pt>
                <c:pt idx="390">
                  <c:v>545.90400551075186</c:v>
                </c:pt>
                <c:pt idx="391">
                  <c:v>548.00192948764038</c:v>
                </c:pt>
                <c:pt idx="392">
                  <c:v>550.09452525345876</c:v>
                </c:pt>
                <c:pt idx="393">
                  <c:v>552.18173088181868</c:v>
                </c:pt>
                <c:pt idx="394">
                  <c:v>554.26348503134693</c:v>
                </c:pt>
                <c:pt idx="395">
                  <c:v>556.33972696322519</c:v>
                </c:pt>
                <c:pt idx="396">
                  <c:v>558.41039655788757</c:v>
                </c:pt>
                <c:pt idx="397">
                  <c:v>560.47543433091334</c:v>
                </c:pt>
                <c:pt idx="398">
                  <c:v>562.53478144814744</c:v>
                </c:pt>
                <c:pt idx="399">
                  <c:v>564.58837974008213</c:v>
                </c:pt>
                <c:pt idx="400">
                  <c:v>566.63617171552778</c:v>
                </c:pt>
                <c:pt idx="401">
                  <c:v>568.67810057460122</c:v>
                </c:pt>
                <c:pt idx="402">
                  <c:v>570.7141102210569</c:v>
                </c:pt>
                <c:pt idx="403">
                  <c:v>572.74414527398483</c:v>
                </c:pt>
                <c:pt idx="404">
                  <c:v>574.76815107889797</c:v>
                </c:pt>
                <c:pt idx="405">
                  <c:v>576.78607371822943</c:v>
                </c:pt>
                <c:pt idx="406">
                  <c:v>578.79786002125991</c:v>
                </c:pt>
                <c:pt idx="407">
                  <c:v>580.80345757349392</c:v>
                </c:pt>
                <c:pt idx="408">
                  <c:v>582.80281472550109</c:v>
                </c:pt>
                <c:pt idx="409">
                  <c:v>584.7958806012407</c:v>
                </c:pt>
                <c:pt idx="410">
                  <c:v>586.7826051058837</c:v>
                </c:pt>
                <c:pt idx="411">
                  <c:v>588.76293893314778</c:v>
                </c:pt>
                <c:pt idx="412">
                  <c:v>590.7368335721585</c:v>
                </c:pt>
                <c:pt idx="413">
                  <c:v>592.70424131385073</c:v>
                </c:pt>
                <c:pt idx="414">
                  <c:v>594.66511525692272</c:v>
                </c:pt>
                <c:pt idx="415">
                  <c:v>596.61940931335437</c:v>
                </c:pt>
                <c:pt idx="416">
                  <c:v>598.56707821350165</c:v>
                </c:pt>
                <c:pt idx="417">
                  <c:v>600.50807751077821</c:v>
                </c:pt>
                <c:pt idx="418">
                  <c:v>602.44236358593469</c:v>
                </c:pt>
                <c:pt idx="419">
                  <c:v>604.36989365094564</c:v>
                </c:pt>
                <c:pt idx="420">
                  <c:v>606.29062575251373</c:v>
                </c:pt>
                <c:pt idx="421">
                  <c:v>608.20451877520156</c:v>
                </c:pt>
                <c:pt idx="422">
                  <c:v>610.11153244419859</c:v>
                </c:pt>
                <c:pt idx="423">
                  <c:v>612.01162732773366</c:v>
                </c:pt>
                <c:pt idx="424">
                  <c:v>613.90476483914063</c:v>
                </c:pt>
                <c:pt idx="425">
                  <c:v>615.79090723858519</c:v>
                </c:pt>
                <c:pt idx="426">
                  <c:v>617.67001763446171</c:v>
                </c:pt>
                <c:pt idx="427">
                  <c:v>619.54205998446753</c:v>
                </c:pt>
                <c:pt idx="428">
                  <c:v>621.40699909636203</c:v>
                </c:pt>
                <c:pt idx="429">
                  <c:v>623.26480062841881</c:v>
                </c:pt>
                <c:pt idx="430">
                  <c:v>625.11543108957676</c:v>
                </c:pt>
                <c:pt idx="431">
                  <c:v>626.95885783929884</c:v>
                </c:pt>
                <c:pt idx="432">
                  <c:v>628.79504908714432</c:v>
                </c:pt>
                <c:pt idx="433">
                  <c:v>630.62397389206183</c:v>
                </c:pt>
                <c:pt idx="434">
                  <c:v>632.44560216141008</c:v>
                </c:pt>
                <c:pt idx="435">
                  <c:v>634.2599046497121</c:v>
                </c:pt>
                <c:pt idx="436">
                  <c:v>636.06685295715045</c:v>
                </c:pt>
                <c:pt idx="437">
                  <c:v>637.86641952780906</c:v>
                </c:pt>
                <c:pt idx="438">
                  <c:v>639.65857764766861</c:v>
                </c:pt>
                <c:pt idx="439">
                  <c:v>641.44330144236062</c:v>
                </c:pt>
                <c:pt idx="440">
                  <c:v>643.22056587468785</c:v>
                </c:pt>
                <c:pt idx="441">
                  <c:v>644.99034674191546</c:v>
                </c:pt>
                <c:pt idx="442">
                  <c:v>646.75262067284007</c:v>
                </c:pt>
                <c:pt idx="443">
                  <c:v>648.50736512464198</c:v>
                </c:pt>
                <c:pt idx="444">
                  <c:v>650.25455837952666</c:v>
                </c:pt>
                <c:pt idx="445">
                  <c:v>651.99417954116075</c:v>
                </c:pt>
                <c:pt idx="446">
                  <c:v>653.72620853090905</c:v>
                </c:pt>
                <c:pt idx="447">
                  <c:v>655.45062608387707</c:v>
                </c:pt>
                <c:pt idx="448">
                  <c:v>657.16741374476578</c:v>
                </c:pt>
                <c:pt idx="449">
                  <c:v>658.87655386354299</c:v>
                </c:pt>
                <c:pt idx="450">
                  <c:v>660.5780295909376</c:v>
                </c:pt>
                <c:pt idx="451">
                  <c:v>662.27182487376137</c:v>
                </c:pt>
                <c:pt idx="452">
                  <c:v>663.9579244500643</c:v>
                </c:pt>
                <c:pt idx="453">
                  <c:v>665.63631384412815</c:v>
                </c:pt>
                <c:pt idx="454">
                  <c:v>667.30697936130355</c:v>
                </c:pt>
                <c:pt idx="455">
                  <c:v>668.96990808269572</c:v>
                </c:pt>
                <c:pt idx="456">
                  <c:v>670.62508785970408</c:v>
                </c:pt>
                <c:pt idx="457">
                  <c:v>672.27250730842081</c:v>
                </c:pt>
                <c:pt idx="458">
                  <c:v>673.91215580389269</c:v>
                </c:pt>
                <c:pt idx="459">
                  <c:v>675.54402347425184</c:v>
                </c:pt>
                <c:pt idx="460">
                  <c:v>677.16810119472018</c:v>
                </c:pt>
                <c:pt idx="461">
                  <c:v>678.78438058149118</c:v>
                </c:pt>
                <c:pt idx="462">
                  <c:v>680.39285398549589</c:v>
                </c:pt>
                <c:pt idx="463">
                  <c:v>681.99351448605535</c:v>
                </c:pt>
                <c:pt idx="464">
                  <c:v>683.5863558844261</c:v>
                </c:pt>
                <c:pt idx="465">
                  <c:v>685.17137269724196</c:v>
                </c:pt>
                <c:pt idx="466">
                  <c:v>686.74856014985744</c:v>
                </c:pt>
                <c:pt idx="467">
                  <c:v>688.31791416959641</c:v>
                </c:pt>
                <c:pt idx="468">
                  <c:v>689.87943137891148</c:v>
                </c:pt>
                <c:pt idx="469">
                  <c:v>691.43310908845717</c:v>
                </c:pt>
                <c:pt idx="470">
                  <c:v>692.97894529008192</c:v>
                </c:pt>
                <c:pt idx="471">
                  <c:v>694.51693864974334</c:v>
                </c:pt>
                <c:pt idx="472">
                  <c:v>696.04708850034979</c:v>
                </c:pt>
                <c:pt idx="473">
                  <c:v>697.56939483453345</c:v>
                </c:pt>
                <c:pt idx="474">
                  <c:v>699.08385829735846</c:v>
                </c:pt>
                <c:pt idx="475">
                  <c:v>700.59048017896782</c:v>
                </c:pt>
                <c:pt idx="476">
                  <c:v>702.08926240717324</c:v>
                </c:pt>
                <c:pt idx="477">
                  <c:v>703.58020753999199</c:v>
                </c:pt>
                <c:pt idx="478">
                  <c:v>705.06331875813407</c:v>
                </c:pt>
                <c:pt idx="479">
                  <c:v>706.5385998574435</c:v>
                </c:pt>
                <c:pt idx="480">
                  <c:v>708.00605524129742</c:v>
                </c:pt>
                <c:pt idx="481">
                  <c:v>709.46568991296681</c:v>
                </c:pt>
                <c:pt idx="482">
                  <c:v>710.91750946794195</c:v>
                </c:pt>
                <c:pt idx="483">
                  <c:v>712.36152008622616</c:v>
                </c:pt>
                <c:pt idx="484">
                  <c:v>713.79772852460155</c:v>
                </c:pt>
                <c:pt idx="485">
                  <c:v>715.22614210886945</c:v>
                </c:pt>
                <c:pt idx="486">
                  <c:v>716.64676872606947</c:v>
                </c:pt>
                <c:pt idx="487">
                  <c:v>718.05961681667975</c:v>
                </c:pt>
                <c:pt idx="488">
                  <c:v>719.46469536680206</c:v>
                </c:pt>
                <c:pt idx="489">
                  <c:v>720.86201390033432</c:v>
                </c:pt>
                <c:pt idx="490">
                  <c:v>722.25158247113416</c:v>
                </c:pt>
                <c:pt idx="491">
                  <c:v>723.63341165517568</c:v>
                </c:pt>
                <c:pt idx="492">
                  <c:v>725.00751254270267</c:v>
                </c:pt>
                <c:pt idx="493">
                  <c:v>726.37389673038126</c:v>
                </c:pt>
                <c:pt idx="494">
                  <c:v>727.7325763134545</c:v>
                </c:pt>
                <c:pt idx="495">
                  <c:v>729.0835638779015</c:v>
                </c:pt>
                <c:pt idx="496">
                  <c:v>730.42687249260405</c:v>
                </c:pt>
                <c:pt idx="497">
                  <c:v>731.7625157015226</c:v>
                </c:pt>
                <c:pt idx="498">
                  <c:v>733.09050751588495</c:v>
                </c:pt>
                <c:pt idx="499">
                  <c:v>734.41086240638924</c:v>
                </c:pt>
                <c:pt idx="500">
                  <c:v>735.7235952954245</c:v>
                </c:pt>
                <c:pt idx="501">
                  <c:v>737.02872154931003</c:v>
                </c:pt>
                <c:pt idx="502">
                  <c:v>738.32625697055653</c:v>
                </c:pt>
                <c:pt idx="503">
                  <c:v>739.61621779015104</c:v>
                </c:pt>
                <c:pt idx="504">
                  <c:v>740.89862065986767</c:v>
                </c:pt>
                <c:pt idx="505">
                  <c:v>742.17348264460611</c:v>
                </c:pt>
                <c:pt idx="506">
                  <c:v>743.44082121476015</c:v>
                </c:pt>
                <c:pt idx="507">
                  <c:v>744.70065423861774</c:v>
                </c:pt>
                <c:pt idx="508">
                  <c:v>745.95299997479503</c:v>
                </c:pt>
                <c:pt idx="509">
                  <c:v>747.19787706470595</c:v>
                </c:pt>
                <c:pt idx="510">
                  <c:v>748.43530452506832</c:v>
                </c:pt>
                <c:pt idx="511">
                  <c:v>749.66530174044965</c:v>
                </c:pt>
                <c:pt idx="512">
                  <c:v>750.88788845585316</c:v>
                </c:pt>
                <c:pt idx="513">
                  <c:v>752.10308476934563</c:v>
                </c:pt>
                <c:pt idx="514">
                  <c:v>753.31091112472961</c:v>
                </c:pt>
                <c:pt idx="515">
                  <c:v>754.51138830425998</c:v>
                </c:pt>
                <c:pt idx="516">
                  <c:v>755.70453742140728</c:v>
                </c:pt>
                <c:pt idx="517">
                  <c:v>755.70453742140728</c:v>
                </c:pt>
                <c:pt idx="518">
                  <c:v>755.70453742140728</c:v>
                </c:pt>
                <c:pt idx="519">
                  <c:v>755.70453742140728</c:v>
                </c:pt>
                <c:pt idx="520">
                  <c:v>755.70453742140728</c:v>
                </c:pt>
                <c:pt idx="521">
                  <c:v>755.70453742140728</c:v>
                </c:pt>
                <c:pt idx="522">
                  <c:v>755.70453742140728</c:v>
                </c:pt>
                <c:pt idx="523">
                  <c:v>755.70453742140728</c:v>
                </c:pt>
                <c:pt idx="524">
                  <c:v>755.70453742140728</c:v>
                </c:pt>
                <c:pt idx="525">
                  <c:v>755.70453742140728</c:v>
                </c:pt>
                <c:pt idx="526">
                  <c:v>755.70453742140728</c:v>
                </c:pt>
                <c:pt idx="527">
                  <c:v>755.70453742140728</c:v>
                </c:pt>
                <c:pt idx="528">
                  <c:v>755.70453742140728</c:v>
                </c:pt>
                <c:pt idx="529">
                  <c:v>755.70453742140728</c:v>
                </c:pt>
                <c:pt idx="530">
                  <c:v>755.70453742140728</c:v>
                </c:pt>
                <c:pt idx="531">
                  <c:v>755.70453742140728</c:v>
                </c:pt>
                <c:pt idx="532">
                  <c:v>755.70453742140728</c:v>
                </c:pt>
                <c:pt idx="533">
                  <c:v>755.70453742140728</c:v>
                </c:pt>
                <c:pt idx="534">
                  <c:v>755.70453742140728</c:v>
                </c:pt>
                <c:pt idx="535">
                  <c:v>755.70453742140728</c:v>
                </c:pt>
                <c:pt idx="536">
                  <c:v>755.70453742140728</c:v>
                </c:pt>
                <c:pt idx="537">
                  <c:v>755.70453742140728</c:v>
                </c:pt>
                <c:pt idx="538">
                  <c:v>755.70453742140728</c:v>
                </c:pt>
                <c:pt idx="539">
                  <c:v>755.70453742140728</c:v>
                </c:pt>
                <c:pt idx="540">
                  <c:v>755.70453742140728</c:v>
                </c:pt>
                <c:pt idx="541">
                  <c:v>755.70453742140728</c:v>
                </c:pt>
                <c:pt idx="542">
                  <c:v>755.70453742140728</c:v>
                </c:pt>
                <c:pt idx="543">
                  <c:v>755.70453742140728</c:v>
                </c:pt>
                <c:pt idx="544">
                  <c:v>755.70453742140728</c:v>
                </c:pt>
                <c:pt idx="545">
                  <c:v>755.70453742140728</c:v>
                </c:pt>
                <c:pt idx="546">
                  <c:v>755.70453742140728</c:v>
                </c:pt>
                <c:pt idx="547">
                  <c:v>755.70453742140728</c:v>
                </c:pt>
                <c:pt idx="548">
                  <c:v>755.70453742140728</c:v>
                </c:pt>
                <c:pt idx="549">
                  <c:v>755.70453742140728</c:v>
                </c:pt>
                <c:pt idx="550">
                  <c:v>755.70453742140728</c:v>
                </c:pt>
                <c:pt idx="551">
                  <c:v>755.70453742140728</c:v>
                </c:pt>
                <c:pt idx="552">
                  <c:v>755.70453742140728</c:v>
                </c:pt>
                <c:pt idx="553">
                  <c:v>755.70453742140728</c:v>
                </c:pt>
                <c:pt idx="554">
                  <c:v>755.70453742140728</c:v>
                </c:pt>
                <c:pt idx="555">
                  <c:v>755.70453742140728</c:v>
                </c:pt>
                <c:pt idx="556">
                  <c:v>755.70453742140728</c:v>
                </c:pt>
                <c:pt idx="557">
                  <c:v>755.70453742140728</c:v>
                </c:pt>
                <c:pt idx="558">
                  <c:v>755.70453742140728</c:v>
                </c:pt>
                <c:pt idx="559">
                  <c:v>755.70453742140728</c:v>
                </c:pt>
                <c:pt idx="560">
                  <c:v>755.70453742140728</c:v>
                </c:pt>
                <c:pt idx="561">
                  <c:v>755.70453742140728</c:v>
                </c:pt>
                <c:pt idx="562">
                  <c:v>755.70453742140728</c:v>
                </c:pt>
                <c:pt idx="563">
                  <c:v>755.70453742140728</c:v>
                </c:pt>
                <c:pt idx="564">
                  <c:v>755.70453742140728</c:v>
                </c:pt>
                <c:pt idx="565">
                  <c:v>755.70453742140728</c:v>
                </c:pt>
                <c:pt idx="566">
                  <c:v>755.70453742140728</c:v>
                </c:pt>
                <c:pt idx="567">
                  <c:v>755.70453742140728</c:v>
                </c:pt>
                <c:pt idx="568">
                  <c:v>755.70453742140728</c:v>
                </c:pt>
                <c:pt idx="569">
                  <c:v>755.70453742140728</c:v>
                </c:pt>
                <c:pt idx="570">
                  <c:v>755.70453742140728</c:v>
                </c:pt>
                <c:pt idx="571">
                  <c:v>755.70453742140728</c:v>
                </c:pt>
                <c:pt idx="572">
                  <c:v>755.70453742140728</c:v>
                </c:pt>
                <c:pt idx="573">
                  <c:v>755.70453742140728</c:v>
                </c:pt>
                <c:pt idx="574">
                  <c:v>755.70453742140728</c:v>
                </c:pt>
                <c:pt idx="575">
                  <c:v>755.70453742140728</c:v>
                </c:pt>
                <c:pt idx="576">
                  <c:v>755.70453742140728</c:v>
                </c:pt>
                <c:pt idx="577">
                  <c:v>755.70453742140728</c:v>
                </c:pt>
                <c:pt idx="578">
                  <c:v>755.70453742140728</c:v>
                </c:pt>
                <c:pt idx="579">
                  <c:v>755.70453742140728</c:v>
                </c:pt>
                <c:pt idx="580">
                  <c:v>755.70453742140728</c:v>
                </c:pt>
                <c:pt idx="581">
                  <c:v>755.70453742140728</c:v>
                </c:pt>
                <c:pt idx="582">
                  <c:v>755.70453742140728</c:v>
                </c:pt>
                <c:pt idx="583">
                  <c:v>755.70453742140728</c:v>
                </c:pt>
                <c:pt idx="584">
                  <c:v>755.70453742140728</c:v>
                </c:pt>
                <c:pt idx="585">
                  <c:v>755.70453742140728</c:v>
                </c:pt>
                <c:pt idx="586">
                  <c:v>755.70453742140728</c:v>
                </c:pt>
                <c:pt idx="587">
                  <c:v>755.70453742140728</c:v>
                </c:pt>
                <c:pt idx="588">
                  <c:v>755.70453742140728</c:v>
                </c:pt>
                <c:pt idx="589">
                  <c:v>755.70453742140728</c:v>
                </c:pt>
                <c:pt idx="590">
                  <c:v>755.70453742140728</c:v>
                </c:pt>
                <c:pt idx="591">
                  <c:v>755.70453742140728</c:v>
                </c:pt>
                <c:pt idx="592">
                  <c:v>755.70453742140728</c:v>
                </c:pt>
                <c:pt idx="593">
                  <c:v>755.70453742140728</c:v>
                </c:pt>
                <c:pt idx="594">
                  <c:v>755.70453742140728</c:v>
                </c:pt>
                <c:pt idx="595">
                  <c:v>755.70453742140728</c:v>
                </c:pt>
                <c:pt idx="596">
                  <c:v>755.70453742140728</c:v>
                </c:pt>
                <c:pt idx="597">
                  <c:v>755.70453742140728</c:v>
                </c:pt>
                <c:pt idx="598">
                  <c:v>755.70453742140728</c:v>
                </c:pt>
                <c:pt idx="599">
                  <c:v>755.70453742140728</c:v>
                </c:pt>
                <c:pt idx="600">
                  <c:v>755.70453742140728</c:v>
                </c:pt>
                <c:pt idx="601">
                  <c:v>755.70453742140728</c:v>
                </c:pt>
                <c:pt idx="602">
                  <c:v>755.70453742140728</c:v>
                </c:pt>
                <c:pt idx="603">
                  <c:v>755.70453742140728</c:v>
                </c:pt>
                <c:pt idx="604">
                  <c:v>755.70453742140728</c:v>
                </c:pt>
                <c:pt idx="605">
                  <c:v>755.70453742140728</c:v>
                </c:pt>
                <c:pt idx="606">
                  <c:v>755.70453742140728</c:v>
                </c:pt>
                <c:pt idx="607">
                  <c:v>755.70453742140728</c:v>
                </c:pt>
                <c:pt idx="608">
                  <c:v>755.70453742140728</c:v>
                </c:pt>
                <c:pt idx="609">
                  <c:v>755.70453742140728</c:v>
                </c:pt>
                <c:pt idx="610">
                  <c:v>755.70453742140728</c:v>
                </c:pt>
                <c:pt idx="611">
                  <c:v>755.70453742140728</c:v>
                </c:pt>
                <c:pt idx="612">
                  <c:v>755.70453742140728</c:v>
                </c:pt>
                <c:pt idx="613">
                  <c:v>755.70453742140728</c:v>
                </c:pt>
                <c:pt idx="614">
                  <c:v>755.70453742140728</c:v>
                </c:pt>
                <c:pt idx="615">
                  <c:v>755.70453742140728</c:v>
                </c:pt>
                <c:pt idx="616">
                  <c:v>755.70453742140728</c:v>
                </c:pt>
                <c:pt idx="617">
                  <c:v>755.70453742140728</c:v>
                </c:pt>
                <c:pt idx="618">
                  <c:v>755.70453742140728</c:v>
                </c:pt>
                <c:pt idx="619">
                  <c:v>755.70453742140728</c:v>
                </c:pt>
                <c:pt idx="620">
                  <c:v>755.70453742140728</c:v>
                </c:pt>
                <c:pt idx="621">
                  <c:v>755.70453742140728</c:v>
                </c:pt>
                <c:pt idx="622">
                  <c:v>755.70453742140728</c:v>
                </c:pt>
                <c:pt idx="623">
                  <c:v>755.70453742140728</c:v>
                </c:pt>
                <c:pt idx="624">
                  <c:v>755.70453742140728</c:v>
                </c:pt>
                <c:pt idx="625">
                  <c:v>755.70453742140728</c:v>
                </c:pt>
                <c:pt idx="626">
                  <c:v>755.70453742140728</c:v>
                </c:pt>
                <c:pt idx="627">
                  <c:v>755.70453742140728</c:v>
                </c:pt>
                <c:pt idx="628">
                  <c:v>755.70453742140728</c:v>
                </c:pt>
                <c:pt idx="629">
                  <c:v>755.70453742140728</c:v>
                </c:pt>
                <c:pt idx="630">
                  <c:v>755.70453742140728</c:v>
                </c:pt>
                <c:pt idx="631">
                  <c:v>755.70453742140728</c:v>
                </c:pt>
                <c:pt idx="632">
                  <c:v>755.70453742140728</c:v>
                </c:pt>
                <c:pt idx="633">
                  <c:v>755.70453742140728</c:v>
                </c:pt>
                <c:pt idx="634">
                  <c:v>755.70453742140728</c:v>
                </c:pt>
                <c:pt idx="635">
                  <c:v>755.70453742140728</c:v>
                </c:pt>
                <c:pt idx="636">
                  <c:v>755.70453742140728</c:v>
                </c:pt>
                <c:pt idx="637">
                  <c:v>755.70453742140728</c:v>
                </c:pt>
                <c:pt idx="638">
                  <c:v>755.70453742140728</c:v>
                </c:pt>
                <c:pt idx="639">
                  <c:v>755.70453742140728</c:v>
                </c:pt>
                <c:pt idx="640">
                  <c:v>755.70453742140728</c:v>
                </c:pt>
                <c:pt idx="641">
                  <c:v>755.70453742140728</c:v>
                </c:pt>
                <c:pt idx="642">
                  <c:v>755.70453742140728</c:v>
                </c:pt>
                <c:pt idx="643">
                  <c:v>755.70453742140728</c:v>
                </c:pt>
                <c:pt idx="644">
                  <c:v>755.70453742140728</c:v>
                </c:pt>
                <c:pt idx="645">
                  <c:v>755.70453742140728</c:v>
                </c:pt>
                <c:pt idx="646">
                  <c:v>755.70453742140728</c:v>
                </c:pt>
                <c:pt idx="647">
                  <c:v>755.70453742140728</c:v>
                </c:pt>
                <c:pt idx="648">
                  <c:v>755.70453742140728</c:v>
                </c:pt>
                <c:pt idx="649">
                  <c:v>755.70453742140728</c:v>
                </c:pt>
                <c:pt idx="650">
                  <c:v>755.70453742140728</c:v>
                </c:pt>
                <c:pt idx="651">
                  <c:v>755.70453742140728</c:v>
                </c:pt>
                <c:pt idx="652">
                  <c:v>755.70453742140728</c:v>
                </c:pt>
                <c:pt idx="653">
                  <c:v>755.70453742140728</c:v>
                </c:pt>
                <c:pt idx="654">
                  <c:v>755.70453742140728</c:v>
                </c:pt>
                <c:pt idx="655">
                  <c:v>755.70453742140728</c:v>
                </c:pt>
                <c:pt idx="656">
                  <c:v>755.70453742140728</c:v>
                </c:pt>
                <c:pt idx="657">
                  <c:v>755.70453742140728</c:v>
                </c:pt>
                <c:pt idx="658">
                  <c:v>755.70453742140728</c:v>
                </c:pt>
                <c:pt idx="659">
                  <c:v>755.70453742140728</c:v>
                </c:pt>
                <c:pt idx="660">
                  <c:v>755.70453742140728</c:v>
                </c:pt>
                <c:pt idx="661">
                  <c:v>755.70453742140728</c:v>
                </c:pt>
                <c:pt idx="662">
                  <c:v>755.70453742140728</c:v>
                </c:pt>
                <c:pt idx="663">
                  <c:v>755.70453742140728</c:v>
                </c:pt>
                <c:pt idx="664">
                  <c:v>755.70453742140728</c:v>
                </c:pt>
                <c:pt idx="665">
                  <c:v>755.70453742140728</c:v>
                </c:pt>
                <c:pt idx="666">
                  <c:v>755.70453742140728</c:v>
                </c:pt>
                <c:pt idx="667">
                  <c:v>755.70453742140728</c:v>
                </c:pt>
                <c:pt idx="668">
                  <c:v>755.70453742140728</c:v>
                </c:pt>
                <c:pt idx="669">
                  <c:v>755.70453742140728</c:v>
                </c:pt>
                <c:pt idx="670">
                  <c:v>755.70453742140728</c:v>
                </c:pt>
                <c:pt idx="671">
                  <c:v>755.70453742140728</c:v>
                </c:pt>
                <c:pt idx="672">
                  <c:v>755.70453742140728</c:v>
                </c:pt>
                <c:pt idx="673">
                  <c:v>755.70453742140728</c:v>
                </c:pt>
                <c:pt idx="674">
                  <c:v>755.70453742140728</c:v>
                </c:pt>
                <c:pt idx="675">
                  <c:v>755.70453742140728</c:v>
                </c:pt>
                <c:pt idx="676">
                  <c:v>755.70453742140728</c:v>
                </c:pt>
                <c:pt idx="677">
                  <c:v>755.70453742140728</c:v>
                </c:pt>
                <c:pt idx="678">
                  <c:v>755.70453742140728</c:v>
                </c:pt>
                <c:pt idx="679">
                  <c:v>755.70453742140728</c:v>
                </c:pt>
                <c:pt idx="680">
                  <c:v>755.70453742140728</c:v>
                </c:pt>
                <c:pt idx="681">
                  <c:v>755.70453742140728</c:v>
                </c:pt>
                <c:pt idx="682">
                  <c:v>755.70453742140728</c:v>
                </c:pt>
                <c:pt idx="683">
                  <c:v>755.70453742140728</c:v>
                </c:pt>
                <c:pt idx="684">
                  <c:v>755.70453742140728</c:v>
                </c:pt>
                <c:pt idx="685">
                  <c:v>755.70453742140728</c:v>
                </c:pt>
                <c:pt idx="686">
                  <c:v>755.70453742140728</c:v>
                </c:pt>
                <c:pt idx="687">
                  <c:v>755.70453742140728</c:v>
                </c:pt>
                <c:pt idx="688">
                  <c:v>755.70453742140728</c:v>
                </c:pt>
                <c:pt idx="689">
                  <c:v>755.70453742140728</c:v>
                </c:pt>
                <c:pt idx="690">
                  <c:v>755.70453742140728</c:v>
                </c:pt>
                <c:pt idx="691">
                  <c:v>755.70453742140728</c:v>
                </c:pt>
                <c:pt idx="692">
                  <c:v>755.70453742140728</c:v>
                </c:pt>
                <c:pt idx="693">
                  <c:v>755.70453742140728</c:v>
                </c:pt>
                <c:pt idx="694">
                  <c:v>755.70453742140728</c:v>
                </c:pt>
                <c:pt idx="695">
                  <c:v>755.70453742140728</c:v>
                </c:pt>
                <c:pt idx="696">
                  <c:v>755.70453742140728</c:v>
                </c:pt>
                <c:pt idx="697">
                  <c:v>755.70453742140728</c:v>
                </c:pt>
                <c:pt idx="698">
                  <c:v>755.70453742140728</c:v>
                </c:pt>
                <c:pt idx="699">
                  <c:v>755.70453742140728</c:v>
                </c:pt>
                <c:pt idx="700">
                  <c:v>755.70453742140728</c:v>
                </c:pt>
                <c:pt idx="701">
                  <c:v>755.70453742140728</c:v>
                </c:pt>
                <c:pt idx="702">
                  <c:v>755.70453742140728</c:v>
                </c:pt>
                <c:pt idx="703">
                  <c:v>755.70453742140728</c:v>
                </c:pt>
                <c:pt idx="704">
                  <c:v>755.70453742140728</c:v>
                </c:pt>
                <c:pt idx="705">
                  <c:v>755.70453742140728</c:v>
                </c:pt>
                <c:pt idx="706">
                  <c:v>755.70453742140728</c:v>
                </c:pt>
                <c:pt idx="707">
                  <c:v>755.70453742140728</c:v>
                </c:pt>
                <c:pt idx="708">
                  <c:v>755.70453742140728</c:v>
                </c:pt>
                <c:pt idx="709">
                  <c:v>755.70453742140728</c:v>
                </c:pt>
                <c:pt idx="710">
                  <c:v>755.70453742140728</c:v>
                </c:pt>
                <c:pt idx="711">
                  <c:v>755.70453742140728</c:v>
                </c:pt>
                <c:pt idx="712">
                  <c:v>755.70453742140728</c:v>
                </c:pt>
                <c:pt idx="713">
                  <c:v>755.70453742140728</c:v>
                </c:pt>
                <c:pt idx="714">
                  <c:v>755.70453742140728</c:v>
                </c:pt>
                <c:pt idx="715">
                  <c:v>755.70453742140728</c:v>
                </c:pt>
                <c:pt idx="716">
                  <c:v>755.70453742140728</c:v>
                </c:pt>
                <c:pt idx="717">
                  <c:v>755.70453742140728</c:v>
                </c:pt>
                <c:pt idx="718">
                  <c:v>755.70453742140728</c:v>
                </c:pt>
                <c:pt idx="719">
                  <c:v>755.70453742140728</c:v>
                </c:pt>
                <c:pt idx="720">
                  <c:v>755.70453742140728</c:v>
                </c:pt>
                <c:pt idx="721">
                  <c:v>755.70453742140728</c:v>
                </c:pt>
                <c:pt idx="722">
                  <c:v>755.70453742140728</c:v>
                </c:pt>
                <c:pt idx="723">
                  <c:v>755.70453742140728</c:v>
                </c:pt>
                <c:pt idx="724">
                  <c:v>755.70453742140728</c:v>
                </c:pt>
                <c:pt idx="725">
                  <c:v>755.70453742140728</c:v>
                </c:pt>
                <c:pt idx="726">
                  <c:v>755.70453742140728</c:v>
                </c:pt>
                <c:pt idx="727">
                  <c:v>755.70453742140728</c:v>
                </c:pt>
                <c:pt idx="728">
                  <c:v>755.70453742140728</c:v>
                </c:pt>
                <c:pt idx="729">
                  <c:v>755.70453742140728</c:v>
                </c:pt>
                <c:pt idx="730">
                  <c:v>755.70453742140728</c:v>
                </c:pt>
                <c:pt idx="731">
                  <c:v>755.70453742140728</c:v>
                </c:pt>
                <c:pt idx="732">
                  <c:v>755.70453742140728</c:v>
                </c:pt>
                <c:pt idx="733">
                  <c:v>755.70453742140728</c:v>
                </c:pt>
                <c:pt idx="734">
                  <c:v>755.70453742140728</c:v>
                </c:pt>
                <c:pt idx="735">
                  <c:v>755.70453742140728</c:v>
                </c:pt>
                <c:pt idx="736">
                  <c:v>755.70453742140728</c:v>
                </c:pt>
                <c:pt idx="737">
                  <c:v>755.70453742140728</c:v>
                </c:pt>
                <c:pt idx="738">
                  <c:v>755.70453742140728</c:v>
                </c:pt>
                <c:pt idx="739">
                  <c:v>755.70453742140728</c:v>
                </c:pt>
                <c:pt idx="740">
                  <c:v>755.70453742140728</c:v>
                </c:pt>
                <c:pt idx="741">
                  <c:v>755.70453742140728</c:v>
                </c:pt>
                <c:pt idx="742">
                  <c:v>755.70453742140728</c:v>
                </c:pt>
                <c:pt idx="743">
                  <c:v>755.70453742140728</c:v>
                </c:pt>
                <c:pt idx="744">
                  <c:v>755.70453742140728</c:v>
                </c:pt>
                <c:pt idx="745">
                  <c:v>755.70453742140728</c:v>
                </c:pt>
                <c:pt idx="746">
                  <c:v>755.70453742140728</c:v>
                </c:pt>
                <c:pt idx="747">
                  <c:v>755.70453742140728</c:v>
                </c:pt>
                <c:pt idx="748">
                  <c:v>755.70453742140728</c:v>
                </c:pt>
                <c:pt idx="749">
                  <c:v>755.70453742140728</c:v>
                </c:pt>
                <c:pt idx="750">
                  <c:v>755.70453742140728</c:v>
                </c:pt>
                <c:pt idx="751">
                  <c:v>755.70453742140728</c:v>
                </c:pt>
                <c:pt idx="752">
                  <c:v>755.70453742140728</c:v>
                </c:pt>
                <c:pt idx="753">
                  <c:v>755.70453742140728</c:v>
                </c:pt>
                <c:pt idx="754">
                  <c:v>755.70453742140728</c:v>
                </c:pt>
                <c:pt idx="755">
                  <c:v>755.70453742140728</c:v>
                </c:pt>
                <c:pt idx="756">
                  <c:v>755.70453742140728</c:v>
                </c:pt>
                <c:pt idx="757">
                  <c:v>755.70453742140728</c:v>
                </c:pt>
                <c:pt idx="758">
                  <c:v>755.70453742140728</c:v>
                </c:pt>
                <c:pt idx="759">
                  <c:v>755.70453742140728</c:v>
                </c:pt>
                <c:pt idx="760">
                  <c:v>755.70453742140728</c:v>
                </c:pt>
                <c:pt idx="761">
                  <c:v>755.70453742140728</c:v>
                </c:pt>
                <c:pt idx="762">
                  <c:v>755.70453742140728</c:v>
                </c:pt>
                <c:pt idx="763">
                  <c:v>755.70453742140728</c:v>
                </c:pt>
                <c:pt idx="764">
                  <c:v>755.70453742140728</c:v>
                </c:pt>
                <c:pt idx="765">
                  <c:v>755.70453742140728</c:v>
                </c:pt>
                <c:pt idx="766">
                  <c:v>755.70453742140728</c:v>
                </c:pt>
                <c:pt idx="767">
                  <c:v>755.70453742140728</c:v>
                </c:pt>
                <c:pt idx="768">
                  <c:v>755.70453742140728</c:v>
                </c:pt>
                <c:pt idx="769">
                  <c:v>755.70453742140728</c:v>
                </c:pt>
                <c:pt idx="770">
                  <c:v>755.70453742140728</c:v>
                </c:pt>
                <c:pt idx="771">
                  <c:v>755.70453742140728</c:v>
                </c:pt>
                <c:pt idx="772">
                  <c:v>755.70453742140728</c:v>
                </c:pt>
                <c:pt idx="773">
                  <c:v>755.70453742140728</c:v>
                </c:pt>
                <c:pt idx="774">
                  <c:v>755.70453742140728</c:v>
                </c:pt>
                <c:pt idx="775">
                  <c:v>755.70453742140728</c:v>
                </c:pt>
                <c:pt idx="776">
                  <c:v>755.70453742140728</c:v>
                </c:pt>
                <c:pt idx="777">
                  <c:v>755.70453742140728</c:v>
                </c:pt>
                <c:pt idx="778">
                  <c:v>755.70453742140728</c:v>
                </c:pt>
                <c:pt idx="779">
                  <c:v>755.70453742140728</c:v>
                </c:pt>
                <c:pt idx="780">
                  <c:v>755.70453742140728</c:v>
                </c:pt>
                <c:pt idx="781">
                  <c:v>755.70453742140728</c:v>
                </c:pt>
                <c:pt idx="782">
                  <c:v>755.70453742140728</c:v>
                </c:pt>
                <c:pt idx="783">
                  <c:v>755.70453742140728</c:v>
                </c:pt>
                <c:pt idx="784">
                  <c:v>755.70453742140728</c:v>
                </c:pt>
                <c:pt idx="785">
                  <c:v>755.70453742140728</c:v>
                </c:pt>
                <c:pt idx="786">
                  <c:v>755.70453742140728</c:v>
                </c:pt>
                <c:pt idx="787">
                  <c:v>755.70453742140728</c:v>
                </c:pt>
                <c:pt idx="788">
                  <c:v>755.70453742140728</c:v>
                </c:pt>
                <c:pt idx="789">
                  <c:v>755.70453742140728</c:v>
                </c:pt>
                <c:pt idx="790">
                  <c:v>755.70453742140728</c:v>
                </c:pt>
                <c:pt idx="791">
                  <c:v>755.70453742140728</c:v>
                </c:pt>
                <c:pt idx="792">
                  <c:v>755.70453742140728</c:v>
                </c:pt>
                <c:pt idx="793">
                  <c:v>755.70453742140728</c:v>
                </c:pt>
                <c:pt idx="794">
                  <c:v>755.70453742140728</c:v>
                </c:pt>
                <c:pt idx="795">
                  <c:v>755.70453742140728</c:v>
                </c:pt>
                <c:pt idx="796">
                  <c:v>755.70453742140728</c:v>
                </c:pt>
                <c:pt idx="797">
                  <c:v>755.70453742140728</c:v>
                </c:pt>
                <c:pt idx="798">
                  <c:v>755.70453742140728</c:v>
                </c:pt>
                <c:pt idx="799">
                  <c:v>755.70453742140728</c:v>
                </c:pt>
                <c:pt idx="800">
                  <c:v>755.70453742140728</c:v>
                </c:pt>
                <c:pt idx="801">
                  <c:v>755.70453742140728</c:v>
                </c:pt>
                <c:pt idx="802">
                  <c:v>755.70453742140728</c:v>
                </c:pt>
                <c:pt idx="803">
                  <c:v>755.70453742140728</c:v>
                </c:pt>
                <c:pt idx="804">
                  <c:v>755.70453742140728</c:v>
                </c:pt>
                <c:pt idx="805">
                  <c:v>755.70453742140728</c:v>
                </c:pt>
                <c:pt idx="806">
                  <c:v>755.70453742140728</c:v>
                </c:pt>
                <c:pt idx="807">
                  <c:v>755.70453742140728</c:v>
                </c:pt>
                <c:pt idx="808">
                  <c:v>755.70453742140728</c:v>
                </c:pt>
                <c:pt idx="809">
                  <c:v>755.70453742140728</c:v>
                </c:pt>
                <c:pt idx="810">
                  <c:v>755.70453742140728</c:v>
                </c:pt>
                <c:pt idx="811">
                  <c:v>755.70453742140728</c:v>
                </c:pt>
                <c:pt idx="812">
                  <c:v>755.70453742140728</c:v>
                </c:pt>
                <c:pt idx="813">
                  <c:v>755.70453742140728</c:v>
                </c:pt>
                <c:pt idx="814">
                  <c:v>755.70453742140728</c:v>
                </c:pt>
                <c:pt idx="815">
                  <c:v>755.70453742140728</c:v>
                </c:pt>
                <c:pt idx="816">
                  <c:v>755.70453742140728</c:v>
                </c:pt>
                <c:pt idx="817">
                  <c:v>755.70453742140728</c:v>
                </c:pt>
                <c:pt idx="818">
                  <c:v>755.70453742140728</c:v>
                </c:pt>
                <c:pt idx="819">
                  <c:v>755.70453742140728</c:v>
                </c:pt>
                <c:pt idx="820">
                  <c:v>755.70453742140728</c:v>
                </c:pt>
                <c:pt idx="821">
                  <c:v>755.70453742140728</c:v>
                </c:pt>
                <c:pt idx="822">
                  <c:v>755.70453742140728</c:v>
                </c:pt>
                <c:pt idx="823">
                  <c:v>755.70453742140728</c:v>
                </c:pt>
                <c:pt idx="824">
                  <c:v>755.70453742140728</c:v>
                </c:pt>
                <c:pt idx="825">
                  <c:v>755.70453742140728</c:v>
                </c:pt>
                <c:pt idx="826">
                  <c:v>755.70453742140728</c:v>
                </c:pt>
                <c:pt idx="827">
                  <c:v>755.70453742140728</c:v>
                </c:pt>
                <c:pt idx="828">
                  <c:v>755.70453742140728</c:v>
                </c:pt>
                <c:pt idx="829">
                  <c:v>755.70453742140728</c:v>
                </c:pt>
                <c:pt idx="830">
                  <c:v>755.70453742140728</c:v>
                </c:pt>
                <c:pt idx="831">
                  <c:v>755.70453742140728</c:v>
                </c:pt>
                <c:pt idx="832">
                  <c:v>755.70453742140728</c:v>
                </c:pt>
                <c:pt idx="833">
                  <c:v>755.70453742140728</c:v>
                </c:pt>
                <c:pt idx="834">
                  <c:v>755.70453742140728</c:v>
                </c:pt>
                <c:pt idx="835">
                  <c:v>755.70453742140728</c:v>
                </c:pt>
                <c:pt idx="836">
                  <c:v>755.70453742140728</c:v>
                </c:pt>
                <c:pt idx="837">
                  <c:v>755.70453742140728</c:v>
                </c:pt>
                <c:pt idx="838">
                  <c:v>755.70453742140728</c:v>
                </c:pt>
                <c:pt idx="839">
                  <c:v>755.70453742140728</c:v>
                </c:pt>
                <c:pt idx="840">
                  <c:v>755.70453742140728</c:v>
                </c:pt>
                <c:pt idx="841">
                  <c:v>755.70453742140728</c:v>
                </c:pt>
                <c:pt idx="842">
                  <c:v>755.70453742140728</c:v>
                </c:pt>
                <c:pt idx="843">
                  <c:v>755.70453742140728</c:v>
                </c:pt>
                <c:pt idx="844">
                  <c:v>755.70453742140728</c:v>
                </c:pt>
                <c:pt idx="845">
                  <c:v>755.70453742140728</c:v>
                </c:pt>
                <c:pt idx="846">
                  <c:v>755.70453742140728</c:v>
                </c:pt>
                <c:pt idx="847">
                  <c:v>755.70453742140728</c:v>
                </c:pt>
                <c:pt idx="848">
                  <c:v>755.70453742140728</c:v>
                </c:pt>
                <c:pt idx="849">
                  <c:v>755.70453742140728</c:v>
                </c:pt>
                <c:pt idx="850">
                  <c:v>755.70453742140728</c:v>
                </c:pt>
                <c:pt idx="851">
                  <c:v>755.70453742140728</c:v>
                </c:pt>
                <c:pt idx="852">
                  <c:v>755.70453742140728</c:v>
                </c:pt>
                <c:pt idx="853">
                  <c:v>755.70453742140728</c:v>
                </c:pt>
                <c:pt idx="854">
                  <c:v>755.70453742140728</c:v>
                </c:pt>
                <c:pt idx="855">
                  <c:v>755.70453742140728</c:v>
                </c:pt>
                <c:pt idx="856">
                  <c:v>755.70453742140728</c:v>
                </c:pt>
                <c:pt idx="857">
                  <c:v>755.70453742140728</c:v>
                </c:pt>
                <c:pt idx="858">
                  <c:v>755.70453742140728</c:v>
                </c:pt>
                <c:pt idx="859">
                  <c:v>755.70453742140728</c:v>
                </c:pt>
                <c:pt idx="860">
                  <c:v>755.70453742140728</c:v>
                </c:pt>
                <c:pt idx="861">
                  <c:v>755.70453742140728</c:v>
                </c:pt>
                <c:pt idx="862">
                  <c:v>755.70453742140728</c:v>
                </c:pt>
                <c:pt idx="863">
                  <c:v>755.70453742140728</c:v>
                </c:pt>
                <c:pt idx="864">
                  <c:v>755.70453742140728</c:v>
                </c:pt>
                <c:pt idx="865">
                  <c:v>755.70453742140728</c:v>
                </c:pt>
                <c:pt idx="866">
                  <c:v>755.70453742140728</c:v>
                </c:pt>
                <c:pt idx="867">
                  <c:v>755.70453742140728</c:v>
                </c:pt>
                <c:pt idx="868">
                  <c:v>755.70453742140728</c:v>
                </c:pt>
                <c:pt idx="869">
                  <c:v>755.70453742140728</c:v>
                </c:pt>
                <c:pt idx="870">
                  <c:v>755.70453742140728</c:v>
                </c:pt>
                <c:pt idx="871">
                  <c:v>755.70453742140728</c:v>
                </c:pt>
                <c:pt idx="872">
                  <c:v>755.70453742140728</c:v>
                </c:pt>
                <c:pt idx="873">
                  <c:v>755.70453742140728</c:v>
                </c:pt>
                <c:pt idx="874">
                  <c:v>755.70453742140728</c:v>
                </c:pt>
                <c:pt idx="875">
                  <c:v>755.70453742140728</c:v>
                </c:pt>
                <c:pt idx="876">
                  <c:v>755.70453742140728</c:v>
                </c:pt>
                <c:pt idx="877">
                  <c:v>755.70453742140728</c:v>
                </c:pt>
                <c:pt idx="878">
                  <c:v>755.70453742140728</c:v>
                </c:pt>
                <c:pt idx="879">
                  <c:v>755.70453742140728</c:v>
                </c:pt>
                <c:pt idx="880">
                  <c:v>755.70453742140728</c:v>
                </c:pt>
                <c:pt idx="881">
                  <c:v>755.70453742140728</c:v>
                </c:pt>
                <c:pt idx="882">
                  <c:v>755.70453742140728</c:v>
                </c:pt>
                <c:pt idx="883">
                  <c:v>755.70453742140728</c:v>
                </c:pt>
                <c:pt idx="884">
                  <c:v>755.70453742140728</c:v>
                </c:pt>
                <c:pt idx="885">
                  <c:v>755.70453742140728</c:v>
                </c:pt>
                <c:pt idx="886">
                  <c:v>755.70453742140728</c:v>
                </c:pt>
                <c:pt idx="887">
                  <c:v>755.70453742140728</c:v>
                </c:pt>
                <c:pt idx="888">
                  <c:v>755.70453742140728</c:v>
                </c:pt>
                <c:pt idx="889">
                  <c:v>755.70453742140728</c:v>
                </c:pt>
                <c:pt idx="890">
                  <c:v>755.70453742140728</c:v>
                </c:pt>
                <c:pt idx="891">
                  <c:v>755.70453742140728</c:v>
                </c:pt>
                <c:pt idx="892">
                  <c:v>755.70453742140728</c:v>
                </c:pt>
                <c:pt idx="893">
                  <c:v>755.70453742140728</c:v>
                </c:pt>
                <c:pt idx="894">
                  <c:v>755.70453742140728</c:v>
                </c:pt>
                <c:pt idx="895">
                  <c:v>755.70453742140728</c:v>
                </c:pt>
                <c:pt idx="896">
                  <c:v>755.70453742140728</c:v>
                </c:pt>
                <c:pt idx="897">
                  <c:v>755.70453742140728</c:v>
                </c:pt>
                <c:pt idx="898">
                  <c:v>755.70453742140728</c:v>
                </c:pt>
                <c:pt idx="899">
                  <c:v>755.70453742140728</c:v>
                </c:pt>
                <c:pt idx="900">
                  <c:v>755.70453742140728</c:v>
                </c:pt>
                <c:pt idx="901">
                  <c:v>755.70453742140728</c:v>
                </c:pt>
                <c:pt idx="902">
                  <c:v>755.70453742140728</c:v>
                </c:pt>
                <c:pt idx="903">
                  <c:v>755.70453742140728</c:v>
                </c:pt>
                <c:pt idx="904">
                  <c:v>755.70453742140728</c:v>
                </c:pt>
                <c:pt idx="905">
                  <c:v>755.70453742140728</c:v>
                </c:pt>
                <c:pt idx="906">
                  <c:v>755.70453742140728</c:v>
                </c:pt>
                <c:pt idx="907">
                  <c:v>755.70453742140728</c:v>
                </c:pt>
                <c:pt idx="908">
                  <c:v>755.70453742140728</c:v>
                </c:pt>
                <c:pt idx="909">
                  <c:v>755.70453742140728</c:v>
                </c:pt>
                <c:pt idx="910">
                  <c:v>755.70453742140728</c:v>
                </c:pt>
                <c:pt idx="911">
                  <c:v>755.70453742140728</c:v>
                </c:pt>
                <c:pt idx="912">
                  <c:v>755.70453742140728</c:v>
                </c:pt>
                <c:pt idx="913">
                  <c:v>755.70453742140728</c:v>
                </c:pt>
                <c:pt idx="914">
                  <c:v>755.70453742140728</c:v>
                </c:pt>
                <c:pt idx="915">
                  <c:v>755.70453742140728</c:v>
                </c:pt>
                <c:pt idx="916">
                  <c:v>755.70453742140728</c:v>
                </c:pt>
                <c:pt idx="917">
                  <c:v>755.70453742140728</c:v>
                </c:pt>
                <c:pt idx="918">
                  <c:v>755.70453742140728</c:v>
                </c:pt>
                <c:pt idx="919">
                  <c:v>755.70453742140728</c:v>
                </c:pt>
                <c:pt idx="920">
                  <c:v>755.70453742140728</c:v>
                </c:pt>
                <c:pt idx="921">
                  <c:v>755.70453742140728</c:v>
                </c:pt>
                <c:pt idx="922">
                  <c:v>755.70453742140728</c:v>
                </c:pt>
                <c:pt idx="923">
                  <c:v>755.70453742140728</c:v>
                </c:pt>
                <c:pt idx="924">
                  <c:v>755.70453742140728</c:v>
                </c:pt>
                <c:pt idx="925">
                  <c:v>755.70453742140728</c:v>
                </c:pt>
                <c:pt idx="926">
                  <c:v>755.70453742140728</c:v>
                </c:pt>
                <c:pt idx="927">
                  <c:v>755.70453742140728</c:v>
                </c:pt>
                <c:pt idx="928">
                  <c:v>755.70453742140728</c:v>
                </c:pt>
                <c:pt idx="929">
                  <c:v>755.70453742140728</c:v>
                </c:pt>
                <c:pt idx="930">
                  <c:v>755.70453742140728</c:v>
                </c:pt>
                <c:pt idx="931">
                  <c:v>755.70453742140728</c:v>
                </c:pt>
                <c:pt idx="932">
                  <c:v>755.70453742140728</c:v>
                </c:pt>
                <c:pt idx="933">
                  <c:v>755.70453742140728</c:v>
                </c:pt>
                <c:pt idx="934">
                  <c:v>755.70453742140728</c:v>
                </c:pt>
                <c:pt idx="935">
                  <c:v>755.70453742140728</c:v>
                </c:pt>
                <c:pt idx="936">
                  <c:v>755.70453742140728</c:v>
                </c:pt>
                <c:pt idx="937">
                  <c:v>755.70453742140728</c:v>
                </c:pt>
                <c:pt idx="938">
                  <c:v>755.70453742140728</c:v>
                </c:pt>
                <c:pt idx="939">
                  <c:v>755.70453742140728</c:v>
                </c:pt>
                <c:pt idx="940">
                  <c:v>755.70453742140728</c:v>
                </c:pt>
                <c:pt idx="941">
                  <c:v>755.70453742140728</c:v>
                </c:pt>
                <c:pt idx="942">
                  <c:v>755.70453742140728</c:v>
                </c:pt>
                <c:pt idx="943">
                  <c:v>755.70453742140728</c:v>
                </c:pt>
                <c:pt idx="944">
                  <c:v>755.70453742140728</c:v>
                </c:pt>
                <c:pt idx="945">
                  <c:v>755.70453742140728</c:v>
                </c:pt>
                <c:pt idx="946">
                  <c:v>755.70453742140728</c:v>
                </c:pt>
                <c:pt idx="947">
                  <c:v>755.70453742140728</c:v>
                </c:pt>
                <c:pt idx="948">
                  <c:v>755.70453742140728</c:v>
                </c:pt>
                <c:pt idx="949">
                  <c:v>755.70453742140728</c:v>
                </c:pt>
                <c:pt idx="950">
                  <c:v>755.70453742140728</c:v>
                </c:pt>
                <c:pt idx="951">
                  <c:v>755.70453742140728</c:v>
                </c:pt>
                <c:pt idx="952">
                  <c:v>755.70453742140728</c:v>
                </c:pt>
                <c:pt idx="953">
                  <c:v>755.70453742140728</c:v>
                </c:pt>
                <c:pt idx="954">
                  <c:v>755.70453742140728</c:v>
                </c:pt>
                <c:pt idx="955">
                  <c:v>755.70453742140728</c:v>
                </c:pt>
                <c:pt idx="956">
                  <c:v>755.70453742140728</c:v>
                </c:pt>
                <c:pt idx="957">
                  <c:v>755.70453742140728</c:v>
                </c:pt>
                <c:pt idx="958">
                  <c:v>755.70453742140728</c:v>
                </c:pt>
                <c:pt idx="959">
                  <c:v>755.70453742140728</c:v>
                </c:pt>
                <c:pt idx="960">
                  <c:v>755.70453742140728</c:v>
                </c:pt>
                <c:pt idx="961">
                  <c:v>755.70453742140728</c:v>
                </c:pt>
                <c:pt idx="962">
                  <c:v>755.70453742140728</c:v>
                </c:pt>
                <c:pt idx="963">
                  <c:v>755.70453742140728</c:v>
                </c:pt>
                <c:pt idx="964">
                  <c:v>755.70453742140728</c:v>
                </c:pt>
                <c:pt idx="965">
                  <c:v>755.70453742140728</c:v>
                </c:pt>
                <c:pt idx="966">
                  <c:v>755.70453742140728</c:v>
                </c:pt>
                <c:pt idx="967">
                  <c:v>755.70453742140728</c:v>
                </c:pt>
                <c:pt idx="968">
                  <c:v>755.70453742140728</c:v>
                </c:pt>
                <c:pt idx="969">
                  <c:v>755.70453742140728</c:v>
                </c:pt>
                <c:pt idx="970">
                  <c:v>755.70453742140728</c:v>
                </c:pt>
                <c:pt idx="971">
                  <c:v>755.70453742140728</c:v>
                </c:pt>
                <c:pt idx="972">
                  <c:v>755.70453742140728</c:v>
                </c:pt>
                <c:pt idx="973">
                  <c:v>755.70453742140728</c:v>
                </c:pt>
                <c:pt idx="974">
                  <c:v>755.70453742140728</c:v>
                </c:pt>
                <c:pt idx="975">
                  <c:v>755.70453742140728</c:v>
                </c:pt>
                <c:pt idx="976">
                  <c:v>755.70453742140728</c:v>
                </c:pt>
                <c:pt idx="977">
                  <c:v>755.70453742140728</c:v>
                </c:pt>
                <c:pt idx="978">
                  <c:v>755.70453742140728</c:v>
                </c:pt>
                <c:pt idx="979">
                  <c:v>755.70453742140728</c:v>
                </c:pt>
                <c:pt idx="980">
                  <c:v>755.70453742140728</c:v>
                </c:pt>
                <c:pt idx="981">
                  <c:v>755.70453742140728</c:v>
                </c:pt>
                <c:pt idx="982">
                  <c:v>755.70453742140728</c:v>
                </c:pt>
                <c:pt idx="983">
                  <c:v>755.70453742140728</c:v>
                </c:pt>
                <c:pt idx="984">
                  <c:v>755.70453742140728</c:v>
                </c:pt>
                <c:pt idx="985">
                  <c:v>755.70453742140728</c:v>
                </c:pt>
                <c:pt idx="986">
                  <c:v>755.70453742140728</c:v>
                </c:pt>
                <c:pt idx="987">
                  <c:v>755.70453742140728</c:v>
                </c:pt>
                <c:pt idx="988">
                  <c:v>755.70453742140728</c:v>
                </c:pt>
                <c:pt idx="989">
                  <c:v>755.70453742140728</c:v>
                </c:pt>
                <c:pt idx="990">
                  <c:v>755.70453742140728</c:v>
                </c:pt>
                <c:pt idx="991">
                  <c:v>755.70453742140728</c:v>
                </c:pt>
                <c:pt idx="992">
                  <c:v>755.70453742140728</c:v>
                </c:pt>
                <c:pt idx="993">
                  <c:v>755.70453742140728</c:v>
                </c:pt>
                <c:pt idx="994">
                  <c:v>755.70453742140728</c:v>
                </c:pt>
                <c:pt idx="995">
                  <c:v>755.70453742140728</c:v>
                </c:pt>
                <c:pt idx="996">
                  <c:v>755.70453742140728</c:v>
                </c:pt>
                <c:pt idx="997">
                  <c:v>755.70453742140728</c:v>
                </c:pt>
                <c:pt idx="998">
                  <c:v>755.70453742140728</c:v>
                </c:pt>
                <c:pt idx="999">
                  <c:v>755.70453742140728</c:v>
                </c:pt>
                <c:pt idx="1000">
                  <c:v>755.70453742140728</c:v>
                </c:pt>
              </c:numCache>
            </c:numRef>
          </c:xVal>
          <c:yVal>
            <c:numRef>
              <c:f>Calculs!$K$4:$K$1004</c:f>
              <c:numCache>
                <c:formatCode>0.00</c:formatCode>
                <c:ptCount val="1001"/>
                <c:pt idx="0">
                  <c:v>0</c:v>
                </c:pt>
                <c:pt idx="1">
                  <c:v>8.772253913530354E-4</c:v>
                </c:pt>
                <c:pt idx="2">
                  <c:v>7.2754367754342382E-3</c:v>
                </c:pt>
                <c:pt idx="3">
                  <c:v>2.5256519899900413E-2</c:v>
                </c:pt>
                <c:pt idx="4">
                  <c:v>5.6876016719973263E-2</c:v>
                </c:pt>
                <c:pt idx="5">
                  <c:v>0.10165371660956621</c:v>
                </c:pt>
                <c:pt idx="6">
                  <c:v>0.15925498526388057</c:v>
                </c:pt>
                <c:pt idx="7">
                  <c:v>0.22963793125601001</c:v>
                </c:pt>
                <c:pt idx="8">
                  <c:v>0.31290726322928986</c:v>
                </c:pt>
                <c:pt idx="9">
                  <c:v>0.40916774272854622</c:v>
                </c:pt>
                <c:pt idx="10">
                  <c:v>0.51852418208563844</c:v>
                </c:pt>
                <c:pt idx="11">
                  <c:v>0.64106621127563668</c:v>
                </c:pt>
                <c:pt idx="12">
                  <c:v>0.77685300300344962</c:v>
                </c:pt>
                <c:pt idx="13">
                  <c:v>0.92592843999032071</c:v>
                </c:pt>
                <c:pt idx="14">
                  <c:v>1.0883363243303719</c:v>
                </c:pt>
                <c:pt idx="15">
                  <c:v>1.264120375956824</c:v>
                </c:pt>
                <c:pt idx="16">
                  <c:v>1.4533242311033399</c:v>
                </c:pt>
                <c:pt idx="17">
                  <c:v>1.6559914407606002</c:v>
                </c:pt>
                <c:pt idx="18">
                  <c:v>1.8721654691282292</c:v>
                </c:pt>
                <c:pt idx="19">
                  <c:v>2.1018896920621857</c:v>
                </c:pt>
                <c:pt idx="20">
                  <c:v>2.3452073955177375</c:v>
                </c:pt>
                <c:pt idx="21">
                  <c:v>2.602155659767575</c:v>
                </c:pt>
                <c:pt idx="22">
                  <c:v>2.8727592271988414</c:v>
                </c:pt>
                <c:pt idx="23">
                  <c:v>3.1570365913001366</c:v>
                </c:pt>
                <c:pt idx="24">
                  <c:v>3.4550061023868048</c:v>
                </c:pt>
                <c:pt idx="25">
                  <c:v>3.7666859666786143</c:v>
                </c:pt>
                <c:pt idx="26">
                  <c:v>4.0920942453824569</c:v>
                </c:pt>
                <c:pt idx="27">
                  <c:v>4.4312340525029876</c:v>
                </c:pt>
                <c:pt idx="28">
                  <c:v>4.7841077362197328</c:v>
                </c:pt>
                <c:pt idx="29">
                  <c:v>5.1507316874083733</c:v>
                </c:pt>
                <c:pt idx="30">
                  <c:v>5.531122174472225</c:v>
                </c:pt>
                <c:pt idx="31">
                  <c:v>5.9252953511364588</c:v>
                </c:pt>
                <c:pt idx="32">
                  <c:v>6.3332672533163876</c:v>
                </c:pt>
                <c:pt idx="33">
                  <c:v>6.7550537962080375</c:v>
                </c:pt>
                <c:pt idx="34">
                  <c:v>7.1906707715740588</c:v>
                </c:pt>
                <c:pt idx="35">
                  <c:v>7.6401338452021657</c:v>
                </c:pt>
                <c:pt idx="36">
                  <c:v>8.1034585545166511</c:v>
                </c:pt>
                <c:pt idx="37">
                  <c:v>8.5806603063263491</c:v>
                </c:pt>
                <c:pt idx="38">
                  <c:v>9.0717543746947129</c:v>
                </c:pt>
                <c:pt idx="39">
                  <c:v>9.5767558989196608</c:v>
                </c:pt>
                <c:pt idx="40">
                  <c:v>10.095679881612455</c:v>
                </c:pt>
                <c:pt idx="41">
                  <c:v>10.628536427681617</c:v>
                </c:pt>
                <c:pt idx="42">
                  <c:v>11.175325972355473</c:v>
                </c:pt>
                <c:pt idx="43">
                  <c:v>11.736044023400133</c:v>
                </c:pt>
                <c:pt idx="44">
                  <c:v>12.310685914743388</c:v>
                </c:pt>
                <c:pt idx="45">
                  <c:v>12.899246805525491</c:v>
                </c:pt>
                <c:pt idx="46">
                  <c:v>13.501721679218752</c:v>
                </c:pt>
                <c:pt idx="47">
                  <c:v>14.118105342810834</c:v>
                </c:pt>
                <c:pt idx="48">
                  <c:v>14.748392426047207</c:v>
                </c:pt>
                <c:pt idx="49">
                  <c:v>15.392577380728719</c:v>
                </c:pt>
                <c:pt idx="50">
                  <c:v>16.050654480060643</c:v>
                </c:pt>
                <c:pt idx="51">
                  <c:v>16.722617818049983</c:v>
                </c:pt>
                <c:pt idx="52">
                  <c:v>17.408461308948098</c:v>
                </c:pt>
                <c:pt idx="53">
                  <c:v>18.108178686736036</c:v>
                </c:pt>
                <c:pt idx="54">
                  <c:v>18.8217635046502</c:v>
                </c:pt>
                <c:pt idx="55">
                  <c:v>19.549209134746221</c:v>
                </c:pt>
                <c:pt idx="56">
                  <c:v>20.290508767499063</c:v>
                </c:pt>
                <c:pt idx="57">
                  <c:v>21.045655411437622</c:v>
                </c:pt>
                <c:pt idx="58">
                  <c:v>21.814641892812219</c:v>
                </c:pt>
                <c:pt idx="59">
                  <c:v>22.597460855293495</c:v>
                </c:pt>
                <c:pt idx="60">
                  <c:v>23.394104759701406</c:v>
                </c:pt>
                <c:pt idx="61">
                  <c:v>24.204565883763053</c:v>
                </c:pt>
                <c:pt idx="62">
                  <c:v>25.028836321898275</c:v>
                </c:pt>
                <c:pt idx="63">
                  <c:v>25.866907985031929</c:v>
                </c:pt>
                <c:pt idx="64">
                  <c:v>26.71877260043194</c:v>
                </c:pt>
                <c:pt idx="65">
                  <c:v>27.584421711572233</c:v>
                </c:pt>
                <c:pt idx="66">
                  <c:v>28.463846678019735</c:v>
                </c:pt>
                <c:pt idx="67">
                  <c:v>29.357038675344725</c:v>
                </c:pt>
                <c:pt idx="68">
                  <c:v>30.263988695053818</c:v>
                </c:pt>
                <c:pt idx="69">
                  <c:v>31.18468754454495</c:v>
                </c:pt>
                <c:pt idx="70">
                  <c:v>32.119125847083765</c:v>
                </c:pt>
                <c:pt idx="71">
                  <c:v>33.067294041800871</c:v>
                </c:pt>
                <c:pt idx="72">
                  <c:v>34.02918238370939</c:v>
                </c:pt>
                <c:pt idx="73">
                  <c:v>35.004780943742425</c:v>
                </c:pt>
                <c:pt idx="74">
                  <c:v>35.994079608809855</c:v>
                </c:pt>
                <c:pt idx="75">
                  <c:v>36.997068081874161</c:v>
                </c:pt>
                <c:pt idx="76">
                  <c:v>38.013735882044799</c:v>
                </c:pt>
                <c:pt idx="77">
                  <c:v>39.044072344690811</c:v>
                </c:pt>
                <c:pt idx="78">
                  <c:v>40.088066621571258</c:v>
                </c:pt>
                <c:pt idx="79">
                  <c:v>41.1457076809832</c:v>
                </c:pt>
                <c:pt idx="80">
                  <c:v>42.216984307926872</c:v>
                </c:pt>
                <c:pt idx="81">
                  <c:v>43.301880264336113</c:v>
                </c:pt>
                <c:pt idx="82">
                  <c:v>44.400369440399622</c:v>
                </c:pt>
                <c:pt idx="83">
                  <c:v>45.51242068417173</c:v>
                </c:pt>
                <c:pt idx="84">
                  <c:v>46.638002640537323</c:v>
                </c:pt>
                <c:pt idx="85">
                  <c:v>47.777083752284568</c:v>
                </c:pt>
                <c:pt idx="86">
                  <c:v>48.92963226119516</c:v>
                </c:pt>
                <c:pt idx="87">
                  <c:v>50.095616209151714</c:v>
                </c:pt>
                <c:pt idx="88">
                  <c:v>51.275003439261987</c:v>
                </c:pt>
                <c:pt idx="89">
                  <c:v>52.467761596999388</c:v>
                </c:pt>
                <c:pt idx="90">
                  <c:v>53.673858131359609</c:v>
                </c:pt>
                <c:pt idx="91">
                  <c:v>54.893258156395945</c:v>
                </c:pt>
                <c:pt idx="92">
                  <c:v>56.125922309201115</c:v>
                </c:pt>
                <c:pt idx="93">
                  <c:v>57.37180888681921</c:v>
                </c:pt>
                <c:pt idx="94">
                  <c:v>58.630875986941582</c:v>
                </c:pt>
                <c:pt idx="95">
                  <c:v>59.903081509539369</c:v>
                </c:pt>
                <c:pt idx="96">
                  <c:v>61.188383158509829</c:v>
                </c:pt>
                <c:pt idx="97">
                  <c:v>62.486738443336158</c:v>
                </c:pt>
                <c:pt idx="98">
                  <c:v>63.798104680760403</c:v>
                </c:pt>
                <c:pt idx="99">
                  <c:v>65.122438996469057</c:v>
                </c:pt>
                <c:pt idx="100">
                  <c:v>66.459698326791056</c:v>
                </c:pt>
                <c:pt idx="101">
                  <c:v>67.809839077977514</c:v>
                </c:pt>
                <c:pt idx="102">
                  <c:v>69.172816784987262</c:v>
                </c:pt>
                <c:pt idx="103">
                  <c:v>70.54858645514517</c:v>
                </c:pt>
                <c:pt idx="104">
                  <c:v>71.93710291235017</c:v>
                </c:pt>
                <c:pt idx="105">
                  <c:v>73.338320798895296</c:v>
                </c:pt>
                <c:pt idx="106">
                  <c:v>74.752194577297999</c:v>
                </c:pt>
                <c:pt idx="107">
                  <c:v>76.178678532140111</c:v>
                </c:pt>
                <c:pt idx="108">
                  <c:v>77.617726771917361</c:v>
                </c:pt>
                <c:pt idx="109">
                  <c:v>79.069293230897998</c:v>
                </c:pt>
                <c:pt idx="110">
                  <c:v>80.533331670990165</c:v>
                </c:pt>
                <c:pt idx="111">
                  <c:v>82.009799628496125</c:v>
                </c:pt>
                <c:pt idx="112">
                  <c:v>83.49866236595993</c:v>
                </c:pt>
                <c:pt idx="113">
                  <c:v>84.999888933611786</c:v>
                </c:pt>
                <c:pt idx="114">
                  <c:v>86.513448225377232</c:v>
                </c:pt>
                <c:pt idx="115">
                  <c:v>88.039308980069563</c:v>
                </c:pt>
                <c:pt idx="116">
                  <c:v>89.577439782590886</c:v>
                </c:pt>
                <c:pt idx="117">
                  <c:v>91.127809065141633</c:v>
                </c:pt>
                <c:pt idx="118">
                  <c:v>92.690385108438264</c:v>
                </c:pt>
                <c:pt idx="119">
                  <c:v>94.265136042939091</c:v>
                </c:pt>
                <c:pt idx="120">
                  <c:v>95.852029850077955</c:v>
                </c:pt>
                <c:pt idx="121">
                  <c:v>97.451027816669367</c:v>
                </c:pt>
                <c:pt idx="122">
                  <c:v>99.062077981943247</c:v>
                </c:pt>
                <c:pt idx="123">
                  <c:v>100.68512168035352</c:v>
                </c:pt>
                <c:pt idx="124">
                  <c:v>102.3201000923803</c:v>
                </c:pt>
                <c:pt idx="125">
                  <c:v>103.96695424701494</c:v>
                </c:pt>
                <c:pt idx="126">
                  <c:v>105.62562502424719</c:v>
                </c:pt>
                <c:pt idx="127">
                  <c:v>107.29605315755407</c:v>
                </c:pt>
                <c:pt idx="128">
                  <c:v>108.97817923639029</c:v>
                </c:pt>
                <c:pt idx="129">
                  <c:v>110.67194370867954</c:v>
                </c:pt>
                <c:pt idx="130">
                  <c:v>112.37728688330651</c:v>
                </c:pt>
                <c:pt idx="131">
                  <c:v>114.09414721764742</c:v>
                </c:pt>
                <c:pt idx="132">
                  <c:v>115.82245960354244</c:v>
                </c:pt>
                <c:pt idx="133">
                  <c:v>117.56215708405546</c:v>
                </c:pt>
                <c:pt idx="134">
                  <c:v>119.31317257196277</c:v>
                </c:pt>
                <c:pt idx="135">
                  <c:v>121.07543885258555</c:v>
                </c:pt>
                <c:pt idx="136">
                  <c:v>122.84888858661861</c:v>
                </c:pt>
                <c:pt idx="137">
                  <c:v>124.63345431295531</c:v>
                </c:pt>
                <c:pt idx="138">
                  <c:v>126.42906845150793</c:v>
                </c:pt>
                <c:pt idx="139">
                  <c:v>128.23566330602353</c:v>
                </c:pt>
                <c:pt idx="140">
                  <c:v>130.05317106689444</c:v>
                </c:pt>
                <c:pt idx="141">
                  <c:v>131.88150329728774</c:v>
                </c:pt>
                <c:pt idx="142">
                  <c:v>133.72053040559149</c:v>
                </c:pt>
                <c:pt idx="143">
                  <c:v>135.57010216572837</c:v>
                </c:pt>
                <c:pt idx="144">
                  <c:v>137.43006825365975</c:v>
                </c:pt>
                <c:pt idx="145">
                  <c:v>139.30027825517917</c:v>
                </c:pt>
                <c:pt idx="146">
                  <c:v>141.18058167364725</c:v>
                </c:pt>
                <c:pt idx="147">
                  <c:v>143.07082793766736</c:v>
                </c:pt>
                <c:pt idx="148">
                  <c:v>144.97086640870035</c:v>
                </c:pt>
                <c:pt idx="149">
                  <c:v>146.88054638861755</c:v>
                </c:pt>
                <c:pt idx="150">
                  <c:v>148.79971712719083</c:v>
                </c:pt>
                <c:pt idx="151">
                  <c:v>150.72822782951872</c:v>
                </c:pt>
                <c:pt idx="152">
                  <c:v>152.66592766338741</c:v>
                </c:pt>
                <c:pt idx="153">
                  <c:v>154.61266576656575</c:v>
                </c:pt>
                <c:pt idx="154">
                  <c:v>156.56829125403337</c:v>
                </c:pt>
                <c:pt idx="155">
                  <c:v>158.53265322514068</c:v>
                </c:pt>
                <c:pt idx="156">
                  <c:v>160.50550353814256</c:v>
                </c:pt>
                <c:pt idx="157">
                  <c:v>162.48639958495508</c:v>
                </c:pt>
                <c:pt idx="158">
                  <c:v>164.47480164958151</c:v>
                </c:pt>
                <c:pt idx="159">
                  <c:v>166.47017029015527</c:v>
                </c:pt>
                <c:pt idx="160">
                  <c:v>168.47196639327146</c:v>
                </c:pt>
                <c:pt idx="161">
                  <c:v>170.47952759311173</c:v>
                </c:pt>
                <c:pt idx="162">
                  <c:v>172.49194478448419</c:v>
                </c:pt>
                <c:pt idx="163">
                  <c:v>174.50819791169513</c:v>
                </c:pt>
                <c:pt idx="164">
                  <c:v>176.52729170632691</c:v>
                </c:pt>
                <c:pt idx="165">
                  <c:v>178.54836213411519</c:v>
                </c:pt>
                <c:pt idx="166">
                  <c:v>180.57078266122147</c:v>
                </c:pt>
                <c:pt idx="167">
                  <c:v>182.59395606140745</c:v>
                </c:pt>
                <c:pt idx="168">
                  <c:v>184.61717147437133</c:v>
                </c:pt>
                <c:pt idx="169">
                  <c:v>186.63950902419984</c:v>
                </c:pt>
                <c:pt idx="170">
                  <c:v>188.65980967269536</c:v>
                </c:pt>
                <c:pt idx="171">
                  <c:v>190.67726287924197</c:v>
                </c:pt>
                <c:pt idx="172">
                  <c:v>192.69166813392965</c:v>
                </c:pt>
                <c:pt idx="173">
                  <c:v>194.7030320533828</c:v>
                </c:pt>
                <c:pt idx="174">
                  <c:v>196.71136122821548</c:v>
                </c:pt>
                <c:pt idx="175">
                  <c:v>198.71666222316696</c:v>
                </c:pt>
                <c:pt idx="176">
                  <c:v>200.71894157723634</c:v>
                </c:pt>
                <c:pt idx="177">
                  <c:v>202.71820580381623</c:v>
                </c:pt>
                <c:pt idx="178">
                  <c:v>204.71446139082576</c:v>
                </c:pt>
                <c:pt idx="179">
                  <c:v>206.70771480084247</c:v>
                </c:pt>
                <c:pt idx="180">
                  <c:v>208.6979724712335</c:v>
                </c:pt>
                <c:pt idx="181">
                  <c:v>210.68524081428581</c:v>
                </c:pt>
                <c:pt idx="182">
                  <c:v>212.66952621733566</c:v>
                </c:pt>
                <c:pt idx="183">
                  <c:v>214.65083504289723</c:v>
                </c:pt>
                <c:pt idx="184">
                  <c:v>216.62917362879031</c:v>
                </c:pt>
                <c:pt idx="185">
                  <c:v>218.60454828826724</c:v>
                </c:pt>
                <c:pt idx="186">
                  <c:v>220.57696531013903</c:v>
                </c:pt>
                <c:pt idx="187">
                  <c:v>222.5464309589006</c:v>
                </c:pt>
                <c:pt idx="188">
                  <c:v>224.51295147485527</c:v>
                </c:pt>
                <c:pt idx="189">
                  <c:v>226.47653307423849</c:v>
                </c:pt>
                <c:pt idx="190">
                  <c:v>228.43718194934061</c:v>
                </c:pt>
                <c:pt idx="191">
                  <c:v>230.39490426862901</c:v>
                </c:pt>
                <c:pt idx="192">
                  <c:v>232.34970617686935</c:v>
                </c:pt>
                <c:pt idx="193">
                  <c:v>234.30159379524619</c:v>
                </c:pt>
                <c:pt idx="194">
                  <c:v>236.2505732214826</c:v>
                </c:pt>
                <c:pt idx="195">
                  <c:v>238.19665052995919</c:v>
                </c:pt>
                <c:pt idx="196">
                  <c:v>240.13983177183235</c:v>
                </c:pt>
                <c:pt idx="197">
                  <c:v>242.08012297515162</c:v>
                </c:pt>
                <c:pt idx="198">
                  <c:v>244.01753014497649</c:v>
                </c:pt>
                <c:pt idx="199">
                  <c:v>245.95205926349229</c:v>
                </c:pt>
                <c:pt idx="200">
                  <c:v>247.88371629012539</c:v>
                </c:pt>
                <c:pt idx="201">
                  <c:v>267.04278134940603</c:v>
                </c:pt>
                <c:pt idx="202">
                  <c:v>285.91845415997216</c:v>
                </c:pt>
                <c:pt idx="203">
                  <c:v>304.51647953994552</c:v>
                </c:pt>
                <c:pt idx="204">
                  <c:v>322.84238932557327</c:v>
                </c:pt>
                <c:pt idx="205">
                  <c:v>340.90151270487166</c:v>
                </c:pt>
                <c:pt idx="206">
                  <c:v>358.69898592371345</c:v>
                </c:pt>
                <c:pt idx="207">
                  <c:v>376.23976140975299</c:v>
                </c:pt>
                <c:pt idx="208">
                  <c:v>393.52861635578302</c:v>
                </c:pt>
                <c:pt idx="209">
                  <c:v>410.57016080067353</c:v>
                </c:pt>
                <c:pt idx="210">
                  <c:v>427.36884524292645</c:v>
                </c:pt>
                <c:pt idx="211">
                  <c:v>443.92896781904818</c:v>
                </c:pt>
                <c:pt idx="212">
                  <c:v>460.25468107637266</c:v>
                </c:pt>
                <c:pt idx="213">
                  <c:v>476.34999836762898</c:v>
                </c:pt>
                <c:pt idx="214">
                  <c:v>492.21879989241813</c:v>
                </c:pt>
                <c:pt idx="215">
                  <c:v>507.86483840882357</c:v>
                </c:pt>
                <c:pt idx="216">
                  <c:v>523.29174463660877</c:v>
                </c:pt>
                <c:pt idx="217">
                  <c:v>538.50303237183709</c:v>
                </c:pt>
                <c:pt idx="218">
                  <c:v>553.50210333127029</c:v>
                </c:pt>
                <c:pt idx="219">
                  <c:v>568.2922517435461</c:v>
                </c:pt>
                <c:pt idx="220">
                  <c:v>582.87666870289729</c:v>
                </c:pt>
                <c:pt idx="221">
                  <c:v>597.25844630003314</c:v>
                </c:pt>
                <c:pt idx="222">
                  <c:v>611.4405815437608</c:v>
                </c:pt>
                <c:pt idx="223">
                  <c:v>625.42598008596508</c:v>
                </c:pt>
                <c:pt idx="224">
                  <c:v>639.21745976167858</c:v>
                </c:pt>
                <c:pt idx="225">
                  <c:v>652.8177539551649</c:v>
                </c:pt>
                <c:pt idx="226">
                  <c:v>666.22951480218603</c:v>
                </c:pt>
                <c:pt idx="227">
                  <c:v>679.45531623793465</c:v>
                </c:pt>
                <c:pt idx="228">
                  <c:v>692.49765689947606</c:v>
                </c:pt>
                <c:pt idx="229">
                  <c:v>705.35896289095297</c:v>
                </c:pt>
                <c:pt idx="230">
                  <c:v>718.04159041926459</c:v>
                </c:pt>
                <c:pt idx="231">
                  <c:v>730.54782830742647</c:v>
                </c:pt>
                <c:pt idx="232">
                  <c:v>742.87990039235069</c:v>
                </c:pt>
                <c:pt idx="233">
                  <c:v>755.03996781335661</c:v>
                </c:pt>
                <c:pt idx="234">
                  <c:v>767.03013119731804</c:v>
                </c:pt>
                <c:pt idx="235">
                  <c:v>778.8524327459844</c:v>
                </c:pt>
                <c:pt idx="236">
                  <c:v>790.50885823066665</c:v>
                </c:pt>
                <c:pt idx="237">
                  <c:v>802.00133889915753</c:v>
                </c:pt>
                <c:pt idx="238">
                  <c:v>813.33175329945948</c:v>
                </c:pt>
                <c:pt idx="239">
                  <c:v>824.50192902461379</c:v>
                </c:pt>
                <c:pt idx="240">
                  <c:v>835.5136443826683</c:v>
                </c:pt>
                <c:pt idx="241">
                  <c:v>846.36862999557832</c:v>
                </c:pt>
                <c:pt idx="242">
                  <c:v>857.06857033061294</c:v>
                </c:pt>
                <c:pt idx="243">
                  <c:v>867.61510516762803</c:v>
                </c:pt>
                <c:pt idx="244">
                  <c:v>878.00983100537269</c:v>
                </c:pt>
                <c:pt idx="245">
                  <c:v>888.2543024098137</c:v>
                </c:pt>
                <c:pt idx="246">
                  <c:v>898.35003330729091</c:v>
                </c:pt>
                <c:pt idx="247">
                  <c:v>908.29849822515826</c:v>
                </c:pt>
                <c:pt idx="248">
                  <c:v>918.10113348241475</c:v>
                </c:pt>
                <c:pt idx="249">
                  <c:v>927.75933833269187</c:v>
                </c:pt>
                <c:pt idx="250">
                  <c:v>937.27447606183057</c:v>
                </c:pt>
                <c:pt idx="251">
                  <c:v>946.64787504216099</c:v>
                </c:pt>
                <c:pt idx="252">
                  <c:v>955.88082974548161</c:v>
                </c:pt>
                <c:pt idx="253">
                  <c:v>964.97460171662726</c:v>
                </c:pt>
                <c:pt idx="254">
                  <c:v>973.93042050941381</c:v>
                </c:pt>
                <c:pt idx="255">
                  <c:v>982.74948458665347</c:v>
                </c:pt>
                <c:pt idx="256">
                  <c:v>991.43296218584396</c:v>
                </c:pt>
                <c:pt idx="257">
                  <c:v>999.98199215205238</c:v>
                </c:pt>
                <c:pt idx="258">
                  <c:v>1008.3976847394348</c:v>
                </c:pt>
                <c:pt idx="259">
                  <c:v>1016.6811223827584</c:v>
                </c:pt>
                <c:pt idx="260">
                  <c:v>1024.8333604402246</c:v>
                </c:pt>
                <c:pt idx="261">
                  <c:v>1032.8554279088239</c:v>
                </c:pt>
                <c:pt idx="262">
                  <c:v>1040.7483281133927</c:v>
                </c:pt>
                <c:pt idx="263">
                  <c:v>1048.5130393704849</c:v>
                </c:pt>
                <c:pt idx="264">
                  <c:v>1056.1505156281125</c:v>
                </c:pt>
                <c:pt idx="265">
                  <c:v>1063.6616870823639</c:v>
                </c:pt>
                <c:pt idx="266">
                  <c:v>1071.0474607718515</c:v>
                </c:pt>
                <c:pt idx="267">
                  <c:v>1078.3087211509057</c:v>
                </c:pt>
                <c:pt idx="268">
                  <c:v>1085.4463306423743</c:v>
                </c:pt>
                <c:pt idx="269">
                  <c:v>1092.461130170861</c:v>
                </c:pt>
                <c:pt idx="270">
                  <c:v>1099.3539396771851</c:v>
                </c:pt>
                <c:pt idx="271">
                  <c:v>1106.125558614817</c:v>
                </c:pt>
                <c:pt idx="272">
                  <c:v>1112.7767664290061</c:v>
                </c:pt>
                <c:pt idx="273">
                  <c:v>1119.3083230192838</c:v>
                </c:pt>
                <c:pt idx="274">
                  <c:v>1125.7209691859989</c:v>
                </c:pt>
                <c:pt idx="275">
                  <c:v>1132.0154270615096</c:v>
                </c:pt>
                <c:pt idx="276">
                  <c:v>1138.1924005266312</c:v>
                </c:pt>
                <c:pt idx="277">
                  <c:v>1144.2525756129128</c:v>
                </c:pt>
                <c:pt idx="278">
                  <c:v>1150.1966208912945</c:v>
                </c:pt>
                <c:pt idx="279">
                  <c:v>1156.0251878476702</c:v>
                </c:pt>
                <c:pt idx="280">
                  <c:v>1161.7389112458641</c:v>
                </c:pt>
                <c:pt idx="281">
                  <c:v>1167.3384094785101</c:v>
                </c:pt>
                <c:pt idx="282">
                  <c:v>1172.8242849062999</c:v>
                </c:pt>
                <c:pt idx="283">
                  <c:v>1178.1971241860556</c:v>
                </c:pt>
                <c:pt idx="284">
                  <c:v>1183.4574985880633</c:v>
                </c:pt>
                <c:pt idx="285">
                  <c:v>1188.6059643030919</c:v>
                </c:pt>
                <c:pt idx="286">
                  <c:v>1193.6430627395059</c:v>
                </c:pt>
                <c:pt idx="287">
                  <c:v>1198.5693208108753</c:v>
                </c:pt>
                <c:pt idx="288">
                  <c:v>1203.3852512144686</c:v>
                </c:pt>
                <c:pt idx="289">
                  <c:v>1208.0913527010125</c:v>
                </c:pt>
                <c:pt idx="290">
                  <c:v>1212.6881103360915</c:v>
                </c:pt>
                <c:pt idx="291">
                  <c:v>1217.1759957535551</c:v>
                </c:pt>
                <c:pt idx="292">
                  <c:v>1221.5554674012972</c:v>
                </c:pt>
                <c:pt idx="293">
                  <c:v>1225.826970779771</c:v>
                </c:pt>
                <c:pt idx="294">
                  <c:v>1229.9909386735987</c:v>
                </c:pt>
                <c:pt idx="295">
                  <c:v>1234.0477913766392</c:v>
                </c:pt>
                <c:pt idx="296">
                  <c:v>1237.9979369108812</c:v>
                </c:pt>
                <c:pt idx="297">
                  <c:v>1241.8417712395324</c:v>
                </c:pt>
                <c:pt idx="298">
                  <c:v>1245.579678474684</c:v>
                </c:pt>
                <c:pt idx="299">
                  <c:v>1249.2120310799421</c:v>
                </c:pt>
                <c:pt idx="300">
                  <c:v>1252.7391900684295</c:v>
                </c:pt>
                <c:pt idx="301">
                  <c:v>1256.1615051965794</c:v>
                </c:pt>
                <c:pt idx="302">
                  <c:v>1259.4793151541624</c:v>
                </c:pt>
                <c:pt idx="303">
                  <c:v>1262.6929477510121</c:v>
                </c:pt>
                <c:pt idx="304">
                  <c:v>1265.8027201009429</c:v>
                </c:pt>
                <c:pt idx="305">
                  <c:v>1268.8089388033895</c:v>
                </c:pt>
                <c:pt idx="306">
                  <c:v>1271.7119001233311</c:v>
                </c:pt>
                <c:pt idx="307">
                  <c:v>1274.5118901701101</c:v>
                </c:pt>
                <c:pt idx="308">
                  <c:v>1277.209185075804</c:v>
                </c:pt>
                <c:pt idx="309">
                  <c:v>1279.8040511738641</c:v>
                </c:pt>
                <c:pt idx="310">
                  <c:v>1282.2967451787956</c:v>
                </c:pt>
                <c:pt idx="311">
                  <c:v>1284.6875143677248</c:v>
                </c:pt>
                <c:pt idx="312">
                  <c:v>1286.9765967647702</c:v>
                </c:pt>
                <c:pt idx="313">
                  <c:v>1289.1642213292193</c:v>
                </c:pt>
                <c:pt idx="314">
                  <c:v>1291.2506081485956</c:v>
                </c:pt>
                <c:pt idx="315">
                  <c:v>1293.2359686377911</c:v>
                </c:pt>
                <c:pt idx="316">
                  <c:v>1295.1205057455368</c:v>
                </c:pt>
                <c:pt idx="317">
                  <c:v>1296.9044141695706</c:v>
                </c:pt>
                <c:pt idx="318">
                  <c:v>1298.5878805819525</c:v>
                </c:pt>
                <c:pt idx="319">
                  <c:v>1300.1710838660608</c:v>
                </c:pt>
                <c:pt idx="320">
                  <c:v>1301.6541953668641</c:v>
                </c:pt>
                <c:pt idx="321">
                  <c:v>1303.0373791561117</c:v>
                </c:pt>
                <c:pt idx="322">
                  <c:v>1304.3207923140974</c:v>
                </c:pt>
                <c:pt idx="323">
                  <c:v>1305.5045852296269</c:v>
                </c:pt>
                <c:pt idx="324">
                  <c:v>1306.5889019197398</c:v>
                </c:pt>
                <c:pt idx="325">
                  <c:v>1307.5738803706017</c:v>
                </c:pt>
                <c:pt idx="326">
                  <c:v>1308.4596529007677</c:v>
                </c:pt>
                <c:pt idx="327">
                  <c:v>1309.2463465477244</c:v>
                </c:pt>
                <c:pt idx="328">
                  <c:v>1309.9340834782438</c:v>
                </c:pt>
                <c:pt idx="329">
                  <c:v>1310.5229814226036</c:v>
                </c:pt>
                <c:pt idx="330">
                  <c:v>1311.0131541321896</c:v>
                </c:pt>
                <c:pt idx="331">
                  <c:v>1311.4047118593642</c:v>
                </c:pt>
                <c:pt idx="332">
                  <c:v>1311.6977618578248</c:v>
                </c:pt>
                <c:pt idx="333">
                  <c:v>1311.8924089009854</c:v>
                </c:pt>
                <c:pt idx="334">
                  <c:v>1311.9887558152445</c:v>
                </c:pt>
                <c:pt idx="335">
                  <c:v>1311.9869040243964</c:v>
                </c:pt>
                <c:pt idx="336">
                  <c:v>1311.886954100929</c:v>
                </c:pt>
                <c:pt idx="337">
                  <c:v>1311.6890063195806</c:v>
                </c:pt>
                <c:pt idx="338">
                  <c:v>1311.393161208317</c:v>
                </c:pt>
                <c:pt idx="339">
                  <c:v>1310.9995200918665</c:v>
                </c:pt>
                <c:pt idx="340">
                  <c:v>1310.5081856231081</c:v>
                </c:pt>
                <c:pt idx="341">
                  <c:v>1309.919262297936</c:v>
                </c:pt>
                <c:pt idx="342">
                  <c:v>1309.232856949704</c:v>
                </c:pt>
                <c:pt idx="343">
                  <c:v>1308.4490792199392</c:v>
                </c:pt>
                <c:pt idx="344">
                  <c:v>1307.5680420026738</c:v>
                </c:pt>
                <c:pt idx="345">
                  <c:v>1306.5898618604363</c:v>
                </c:pt>
                <c:pt idx="346">
                  <c:v>1305.5146594106218</c:v>
                </c:pt>
                <c:pt idx="347">
                  <c:v>1304.3425596816005</c:v>
                </c:pt>
                <c:pt idx="348">
                  <c:v>1303.0736924385008</c:v>
                </c:pt>
                <c:pt idx="349">
                  <c:v>1301.7081924790925</c:v>
                </c:pt>
                <c:pt idx="350">
                  <c:v>1300.2461999006039</c:v>
                </c:pt>
                <c:pt idx="351">
                  <c:v>1298.6878603386172</c:v>
                </c:pt>
                <c:pt idx="352">
                  <c:v>1297.0333251794216</c:v>
                </c:pt>
                <c:pt idx="353">
                  <c:v>1295.2827517473515</c:v>
                </c:pt>
                <c:pt idx="354">
                  <c:v>1293.4363034687274</c:v>
                </c:pt>
                <c:pt idx="355">
                  <c:v>1291.4941500140476</c:v>
                </c:pt>
                <c:pt idx="356">
                  <c:v>1289.4564674200701</c:v>
                </c:pt>
                <c:pt idx="357">
                  <c:v>1287.3234381933755</c:v>
                </c:pt>
                <c:pt idx="358">
                  <c:v>1285.0952513969353</c:v>
                </c:pt>
                <c:pt idx="359">
                  <c:v>1282.7721027211276</c:v>
                </c:pt>
                <c:pt idx="360">
                  <c:v>1280.3541945405409</c:v>
                </c:pt>
                <c:pt idx="361">
                  <c:v>1277.8417359578157</c:v>
                </c:pt>
                <c:pt idx="362">
                  <c:v>1275.2349428356647</c:v>
                </c:pt>
                <c:pt idx="363">
                  <c:v>1272.5340378181222</c:v>
                </c:pt>
                <c:pt idx="364">
                  <c:v>1269.7392503419733</c:v>
                </c:pt>
                <c:pt idx="365">
                  <c:v>1266.8508166392271</c:v>
                </c:pt>
                <c:pt idx="366">
                  <c:v>1263.8689797314146</c:v>
                </c:pt>
                <c:pt idx="367">
                  <c:v>1260.7939894164151</c:v>
                </c:pt>
                <c:pt idx="368">
                  <c:v>1257.6261022484478</c:v>
                </c:pt>
                <c:pt idx="369">
                  <c:v>1254.3655815117957</c:v>
                </c:pt>
                <c:pt idx="370">
                  <c:v>1251.0126971887805</c:v>
                </c:pt>
                <c:pt idx="371">
                  <c:v>1247.5677259224469</c:v>
                </c:pt>
                <c:pt idx="372">
                  <c:v>1244.0309509743752</c:v>
                </c:pt>
                <c:pt idx="373">
                  <c:v>1240.4026621779956</c:v>
                </c:pt>
                <c:pt idx="374">
                  <c:v>1236.683155887745</c:v>
                </c:pt>
                <c:pt idx="375">
                  <c:v>1232.8727349243702</c:v>
                </c:pt>
                <c:pt idx="376">
                  <c:v>1228.9717085166562</c:v>
                </c:pt>
                <c:pt idx="377">
                  <c:v>1224.9803922398303</c:v>
                </c:pt>
                <c:pt idx="378">
                  <c:v>1220.8991079508721</c:v>
                </c:pt>
                <c:pt idx="379">
                  <c:v>1216.7281837209368</c:v>
                </c:pt>
                <c:pt idx="380">
                  <c:v>1212.467953765085</c:v>
                </c:pt>
                <c:pt idx="381">
                  <c:v>1208.1187583694914</c:v>
                </c:pt>
                <c:pt idx="382">
                  <c:v>1203.6809438162979</c:v>
                </c:pt>
                <c:pt idx="383">
                  <c:v>1199.154862306257</c:v>
                </c:pt>
                <c:pt idx="384">
                  <c:v>1194.5408718793049</c:v>
                </c:pt>
                <c:pt idx="385">
                  <c:v>1189.8393363331938</c:v>
                </c:pt>
                <c:pt idx="386">
                  <c:v>1185.0506251403031</c:v>
                </c:pt>
                <c:pt idx="387">
                  <c:v>1180.1751133627404</c:v>
                </c:pt>
                <c:pt idx="388">
                  <c:v>1175.2131815658411</c:v>
                </c:pt>
                <c:pt idx="389">
                  <c:v>1170.1652157301626</c:v>
                </c:pt>
                <c:pt idx="390">
                  <c:v>1165.0316071620714</c:v>
                </c:pt>
                <c:pt idx="391">
                  <c:v>1159.8127524030085</c:v>
                </c:pt>
                <c:pt idx="392">
                  <c:v>1154.5090531375213</c:v>
                </c:pt>
                <c:pt idx="393">
                  <c:v>1149.120916100142</c:v>
                </c:pt>
                <c:pt idx="394">
                  <c:v>1143.6487529811911</c:v>
                </c:pt>
                <c:pt idx="395">
                  <c:v>1138.0929803315782</c:v>
                </c:pt>
                <c:pt idx="396">
                  <c:v>1132.4540194666768</c:v>
                </c:pt>
                <c:pt idx="397">
                  <c:v>1126.7322963693364</c:v>
                </c:pt>
                <c:pt idx="398">
                  <c:v>1120.9282415921036</c:v>
                </c:pt>
                <c:pt idx="399">
                  <c:v>1115.0422901587153</c:v>
                </c:pt>
                <c:pt idx="400">
                  <c:v>1109.0748814649244</c:v>
                </c:pt>
                <c:pt idx="401">
                  <c:v>1103.0264591787234</c:v>
                </c:pt>
                <c:pt idx="402">
                  <c:v>1096.8974711400215</c:v>
                </c:pt>
                <c:pt idx="403">
                  <c:v>1090.6883692598351</c:v>
                </c:pt>
                <c:pt idx="404">
                  <c:v>1084.3996094190454</c:v>
                </c:pt>
                <c:pt idx="405">
                  <c:v>1078.031651366781</c:v>
                </c:pt>
                <c:pt idx="406">
                  <c:v>1071.5849586184761</c:v>
                </c:pt>
                <c:pt idx="407">
                  <c:v>1065.0599983536588</c:v>
                </c:pt>
                <c:pt idx="408">
                  <c:v>1058.4572413135195</c:v>
                </c:pt>
                <c:pt idx="409">
                  <c:v>1051.7771616983084</c:v>
                </c:pt>
                <c:pt idx="410">
                  <c:v>1045.0202370646134</c:v>
                </c:pt>
                <c:pt idx="411">
                  <c:v>1038.1869482225636</c:v>
                </c:pt>
                <c:pt idx="412">
                  <c:v>1031.2777791330068</c:v>
                </c:pt>
                <c:pt idx="413">
                  <c:v>1024.2932168047064</c:v>
                </c:pt>
                <c:pt idx="414">
                  <c:v>1017.2337511916016</c:v>
                </c:pt>
                <c:pt idx="415">
                  <c:v>1010.0998750901765</c:v>
                </c:pt>
                <c:pt idx="416">
                  <c:v>1002.8920840369792</c:v>
                </c:pt>
                <c:pt idx="417">
                  <c:v>995.61087620633384</c:v>
                </c:pt>
                <c:pt idx="418">
                  <c:v>988.25675230828654</c:v>
                </c:pt>
                <c:pt idx="419">
                  <c:v>980.8302154868253</c:v>
                </c:pt>
                <c:pt idx="420">
                  <c:v>973.33177121841311</c:v>
                </c:pt>
                <c:pt idx="421">
                  <c:v>965.7619272108725</c:v>
                </c:pt>
                <c:pt idx="422">
                  <c:v>958.12119330265932</c:v>
                </c:pt>
                <c:pt idx="423">
                  <c:v>950.41008136256221</c:v>
                </c:pt>
                <c:pt idx="424">
                  <c:v>942.62910518986348</c:v>
                </c:pt>
                <c:pt idx="425">
                  <c:v>934.77878041499605</c:v>
                </c:pt>
                <c:pt idx="426">
                  <c:v>926.85962440073081</c:v>
                </c:pt>
                <c:pt idx="427">
                  <c:v>918.87215614392744</c:v>
                </c:pt>
                <c:pt idx="428">
                  <c:v>910.81689617788061</c:v>
                </c:pt>
                <c:pt idx="429">
                  <c:v>902.6943664752929</c:v>
                </c:pt>
                <c:pt idx="430">
                  <c:v>894.50509035190578</c:v>
                </c:pt>
                <c:pt idx="431">
                  <c:v>886.24959237081691</c:v>
                </c:pt>
                <c:pt idx="432">
                  <c:v>877.92839824751377</c:v>
                </c:pt>
                <c:pt idx="433">
                  <c:v>869.542034755651</c:v>
                </c:pt>
                <c:pt idx="434">
                  <c:v>861.09102963359783</c:v>
                </c:pt>
                <c:pt idx="435">
                  <c:v>852.57591149178324</c:v>
                </c:pt>
                <c:pt idx="436">
                  <c:v>843.99720972086288</c:v>
                </c:pt>
                <c:pt idx="437">
                  <c:v>835.35545440073258</c:v>
                </c:pt>
                <c:pt idx="438">
                  <c:v>826.65117621041202</c:v>
                </c:pt>
                <c:pt idx="439">
                  <c:v>817.88490633882179</c:v>
                </c:pt>
                <c:pt idx="440">
                  <c:v>809.05717639647492</c:v>
                </c:pt>
                <c:pt idx="441">
                  <c:v>800.16851832810403</c:v>
                </c:pt>
                <c:pt idx="442">
                  <c:v>791.2194643262452</c:v>
                </c:pt>
                <c:pt idx="443">
                  <c:v>782.21054674579648</c:v>
                </c:pt>
                <c:pt idx="444">
                  <c:v>773.14229801957106</c:v>
                </c:pt>
                <c:pt idx="445">
                  <c:v>764.01525057486106</c:v>
                </c:pt>
                <c:pt idx="446">
                  <c:v>754.8299367510308</c:v>
                </c:pt>
                <c:pt idx="447">
                  <c:v>745.58688871815366</c:v>
                </c:pt>
                <c:pt idx="448">
                  <c:v>736.28663839670912</c:v>
                </c:pt>
                <c:pt idx="449">
                  <c:v>726.92971737835353</c:v>
                </c:pt>
                <c:pt idx="450">
                  <c:v>717.51665684777925</c:v>
                </c:pt>
                <c:pt idx="451">
                  <c:v>708.0479875056734</c:v>
                </c:pt>
                <c:pt idx="452">
                  <c:v>698.52423949278989</c:v>
                </c:pt>
                <c:pt idx="453">
                  <c:v>688.94594231514498</c:v>
                </c:pt>
                <c:pt idx="454">
                  <c:v>679.31362477034747</c:v>
                </c:pt>
                <c:pt idx="455">
                  <c:v>669.62781487507232</c:v>
                </c:pt>
                <c:pt idx="456">
                  <c:v>659.88903979368808</c:v>
                </c:pt>
                <c:pt idx="457">
                  <c:v>650.09782576804537</c:v>
                </c:pt>
                <c:pt idx="458">
                  <c:v>640.25469804843374</c:v>
                </c:pt>
                <c:pt idx="459">
                  <c:v>630.36018082571491</c:v>
                </c:pt>
                <c:pt idx="460">
                  <c:v>620.41479716463743</c:v>
                </c:pt>
                <c:pt idx="461">
                  <c:v>610.41906893833811</c:v>
                </c:pt>
                <c:pt idx="462">
                  <c:v>600.37351676403591</c:v>
                </c:pt>
                <c:pt idx="463">
                  <c:v>590.27865993992123</c:v>
                </c:pt>
                <c:pt idx="464">
                  <c:v>580.13501638324476</c:v>
                </c:pt>
                <c:pt idx="465">
                  <c:v>569.94310256960819</c:v>
                </c:pt>
                <c:pt idx="466">
                  <c:v>559.70343347345897</c:v>
                </c:pt>
                <c:pt idx="467">
                  <c:v>549.41652250979052</c:v>
                </c:pt>
                <c:pt idx="468">
                  <c:v>539.08288147704889</c:v>
                </c:pt>
                <c:pt idx="469">
                  <c:v>528.70302050124599</c:v>
                </c:pt>
                <c:pt idx="470">
                  <c:v>518.27744798127924</c:v>
                </c:pt>
                <c:pt idx="471">
                  <c:v>507.80667053545636</c:v>
                </c:pt>
                <c:pt idx="472">
                  <c:v>497.29119294922401</c:v>
                </c:pt>
                <c:pt idx="473">
                  <c:v>486.73151812409827</c:v>
                </c:pt>
                <c:pt idx="474">
                  <c:v>476.12814702779451</c:v>
                </c:pt>
                <c:pt idx="475">
                  <c:v>465.48157864555327</c:v>
                </c:pt>
                <c:pt idx="476">
                  <c:v>454.79230993265884</c:v>
                </c:pt>
                <c:pt idx="477">
                  <c:v>444.06083576814603</c:v>
                </c:pt>
                <c:pt idx="478">
                  <c:v>433.28764890969126</c:v>
                </c:pt>
                <c:pt idx="479">
                  <c:v>422.47323994968195</c:v>
                </c:pt>
                <c:pt idx="480">
                  <c:v>411.61809727245986</c:v>
                </c:pt>
                <c:pt idx="481">
                  <c:v>400.72270701273135</c:v>
                </c:pt>
                <c:pt idx="482">
                  <c:v>389.78755301513888</c:v>
                </c:pt>
                <c:pt idx="483">
                  <c:v>378.81311679498674</c:v>
                </c:pt>
                <c:pt idx="484">
                  <c:v>367.79987750011395</c:v>
                </c:pt>
                <c:pt idx="485">
                  <c:v>356.74831187390652</c:v>
                </c:pt>
                <c:pt idx="486">
                  <c:v>345.65889421944121</c:v>
                </c:pt>
                <c:pt idx="487">
                  <c:v>334.53209636475293</c:v>
                </c:pt>
                <c:pt idx="488">
                  <c:v>323.36838762921633</c:v>
                </c:pt>
                <c:pt idx="489">
                  <c:v>312.16823479103329</c:v>
                </c:pt>
                <c:pt idx="490">
                  <c:v>300.9321020558167</c:v>
                </c:pt>
                <c:pt idx="491">
                  <c:v>289.66045102626094</c:v>
                </c:pt>
                <c:pt idx="492">
                  <c:v>278.35374067288922</c:v>
                </c:pt>
                <c:pt idx="493">
                  <c:v>267.01242730586762</c:v>
                </c:pt>
                <c:pt idx="494">
                  <c:v>255.63696454787535</c:v>
                </c:pt>
                <c:pt idx="495">
                  <c:v>244.22780330802038</c:v>
                </c:pt>
                <c:pt idx="496">
                  <c:v>232.78539175678983</c:v>
                </c:pt>
                <c:pt idx="497">
                  <c:v>221.31017530202354</c:v>
                </c:pt>
                <c:pt idx="498">
                  <c:v>209.80259656589985</c:v>
                </c:pt>
                <c:pt idx="499">
                  <c:v>198.26309536292155</c:v>
                </c:pt>
                <c:pt idx="500">
                  <c:v>186.69210867889058</c:v>
                </c:pt>
                <c:pt idx="501">
                  <c:v>175.09007065085922</c:v>
                </c:pt>
                <c:pt idx="502">
                  <c:v>163.45741254804574</c:v>
                </c:pt>
                <c:pt idx="503">
                  <c:v>151.79456275370222</c:v>
                </c:pt>
                <c:pt idx="504">
                  <c:v>140.10194674792206</c:v>
                </c:pt>
                <c:pt idx="505">
                  <c:v>128.37998709137443</c:v>
                </c:pt>
                <c:pt idx="506">
                  <c:v>116.62910340995313</c:v>
                </c:pt>
                <c:pt idx="507">
                  <c:v>104.84971238032698</c:v>
                </c:pt>
                <c:pt idx="508">
                  <c:v>93.042227716378562</c:v>
                </c:pt>
                <c:pt idx="509">
                  <c:v>81.207060156518594</c:v>
                </c:pt>
                <c:pt idx="510">
                  <c:v>69.34461745186249</c:v>
                </c:pt>
                <c:pt idx="511">
                  <c:v>57.455304355256125</c:v>
                </c:pt>
                <c:pt idx="512">
                  <c:v>45.539522611137272</c:v>
                </c:pt>
                <c:pt idx="513">
                  <c:v>33.597670946219623</c:v>
                </c:pt>
                <c:pt idx="514">
                  <c:v>21.630145060985761</c:v>
                </c:pt>
                <c:pt idx="515">
                  <c:v>9.6373376219757922</c:v>
                </c:pt>
                <c:pt idx="516">
                  <c:v>-2.3803617451419008</c:v>
                </c:pt>
                <c:pt idx="517">
                  <c:v>-2.3923918056035842</c:v>
                </c:pt>
                <c:pt idx="518">
                  <c:v>-2.4044218903779</c:v>
                </c:pt>
                <c:pt idx="519">
                  <c:v>-2.4164519994644666</c:v>
                </c:pt>
                <c:pt idx="520">
                  <c:v>-2.4284821328629027</c:v>
                </c:pt>
                <c:pt idx="521">
                  <c:v>-2.4405122905728271</c:v>
                </c:pt>
                <c:pt idx="522">
                  <c:v>-2.4525424725938589</c:v>
                </c:pt>
                <c:pt idx="523">
                  <c:v>-2.464572678925617</c:v>
                </c:pt>
                <c:pt idx="524">
                  <c:v>-2.47660290956772</c:v>
                </c:pt>
                <c:pt idx="525">
                  <c:v>-2.4886331645197868</c:v>
                </c:pt>
                <c:pt idx="526">
                  <c:v>-2.5006634437814363</c:v>
                </c:pt>
                <c:pt idx="527">
                  <c:v>-2.5126937473522872</c:v>
                </c:pt>
                <c:pt idx="528">
                  <c:v>-2.5247240752319584</c:v>
                </c:pt>
                <c:pt idx="529">
                  <c:v>-2.5367544274200688</c:v>
                </c:pt>
                <c:pt idx="530">
                  <c:v>-2.5487848039162371</c:v>
                </c:pt>
                <c:pt idx="531">
                  <c:v>-2.5608152047200821</c:v>
                </c:pt>
                <c:pt idx="532">
                  <c:v>-2.5728456298312228</c:v>
                </c:pt>
                <c:pt idx="533">
                  <c:v>-2.5848760792492782</c:v>
                </c:pt>
                <c:pt idx="534">
                  <c:v>-2.5969065529738669</c:v>
                </c:pt>
                <c:pt idx="535">
                  <c:v>-2.6089370510046077</c:v>
                </c:pt>
                <c:pt idx="536">
                  <c:v>-2.6209675733411197</c:v>
                </c:pt>
                <c:pt idx="537">
                  <c:v>-2.6329981199830215</c:v>
                </c:pt>
                <c:pt idx="538">
                  <c:v>-2.6450286909299323</c:v>
                </c:pt>
                <c:pt idx="539">
                  <c:v>-2.6570592861814708</c:v>
                </c:pt>
                <c:pt idx="540">
                  <c:v>-2.6690899057372559</c:v>
                </c:pt>
                <c:pt idx="541">
                  <c:v>-2.6811205495969066</c:v>
                </c:pt>
                <c:pt idx="542">
                  <c:v>-2.6931512177600414</c:v>
                </c:pt>
                <c:pt idx="543">
                  <c:v>-2.7051819102262793</c:v>
                </c:pt>
                <c:pt idx="544">
                  <c:v>-2.7172126269952397</c:v>
                </c:pt>
                <c:pt idx="545">
                  <c:v>-2.7292433680665407</c:v>
                </c:pt>
                <c:pt idx="546">
                  <c:v>-2.7412741334398016</c:v>
                </c:pt>
                <c:pt idx="547">
                  <c:v>-2.7533049231146416</c:v>
                </c:pt>
                <c:pt idx="548">
                  <c:v>-2.765335737090679</c:v>
                </c:pt>
                <c:pt idx="549">
                  <c:v>-2.777366575367533</c:v>
                </c:pt>
                <c:pt idx="550">
                  <c:v>-2.7893974379448228</c:v>
                </c:pt>
                <c:pt idx="551">
                  <c:v>-2.801428324822167</c:v>
                </c:pt>
                <c:pt idx="552">
                  <c:v>-2.8134592359991841</c:v>
                </c:pt>
                <c:pt idx="553">
                  <c:v>-2.8254901714754936</c:v>
                </c:pt>
                <c:pt idx="554">
                  <c:v>-2.8375211312507145</c:v>
                </c:pt>
                <c:pt idx="555">
                  <c:v>-2.8495521153244652</c:v>
                </c:pt>
                <c:pt idx="556">
                  <c:v>-2.8615831236963651</c:v>
                </c:pt>
                <c:pt idx="557">
                  <c:v>-2.8736141563660329</c:v>
                </c:pt>
                <c:pt idx="558">
                  <c:v>-2.8856452133330874</c:v>
                </c:pt>
                <c:pt idx="559">
                  <c:v>-2.8976762945971477</c:v>
                </c:pt>
                <c:pt idx="560">
                  <c:v>-2.9097074001578327</c:v>
                </c:pt>
                <c:pt idx="561">
                  <c:v>-2.9217385300147614</c:v>
                </c:pt>
                <c:pt idx="562">
                  <c:v>-2.9337696841675527</c:v>
                </c:pt>
                <c:pt idx="563">
                  <c:v>-2.9458008626158256</c:v>
                </c:pt>
                <c:pt idx="564">
                  <c:v>-2.9578320653591987</c:v>
                </c:pt>
                <c:pt idx="565">
                  <c:v>-2.9698632923972914</c:v>
                </c:pt>
                <c:pt idx="566">
                  <c:v>-2.9818945437297226</c:v>
                </c:pt>
                <c:pt idx="567">
                  <c:v>-2.9939258193561109</c:v>
                </c:pt>
                <c:pt idx="568">
                  <c:v>-3.0059571192760757</c:v>
                </c:pt>
                <c:pt idx="569">
                  <c:v>-3.0179884434892355</c:v>
                </c:pt>
                <c:pt idx="570">
                  <c:v>-3.0300197919952097</c:v>
                </c:pt>
                <c:pt idx="571">
                  <c:v>-3.0420511647936168</c:v>
                </c:pt>
                <c:pt idx="572">
                  <c:v>-3.0540825618840763</c:v>
                </c:pt>
                <c:pt idx="573">
                  <c:v>-3.0661139832662072</c:v>
                </c:pt>
                <c:pt idx="574">
                  <c:v>-3.0781454289396279</c:v>
                </c:pt>
                <c:pt idx="575">
                  <c:v>-3.090176898903958</c:v>
                </c:pt>
                <c:pt idx="576">
                  <c:v>-3.1022083931588158</c:v>
                </c:pt>
                <c:pt idx="577">
                  <c:v>-3.1142399117038209</c:v>
                </c:pt>
                <c:pt idx="578">
                  <c:v>-3.1262714545385921</c:v>
                </c:pt>
                <c:pt idx="579">
                  <c:v>-3.1383030216627481</c:v>
                </c:pt>
                <c:pt idx="580">
                  <c:v>-3.1503346130759082</c:v>
                </c:pt>
                <c:pt idx="581">
                  <c:v>-3.1623662287776915</c:v>
                </c:pt>
                <c:pt idx="582">
                  <c:v>-3.1743978687677168</c:v>
                </c:pt>
                <c:pt idx="583">
                  <c:v>-3.1864295330456032</c:v>
                </c:pt>
                <c:pt idx="584">
                  <c:v>-3.1984612216109696</c:v>
                </c:pt>
                <c:pt idx="585">
                  <c:v>-3.210492934463435</c:v>
                </c:pt>
                <c:pt idx="586">
                  <c:v>-3.2225246716026184</c:v>
                </c:pt>
                <c:pt idx="587">
                  <c:v>-3.2345564330281391</c:v>
                </c:pt>
                <c:pt idx="588">
                  <c:v>-3.2465882187396158</c:v>
                </c:pt>
                <c:pt idx="589">
                  <c:v>-3.2586200287366678</c:v>
                </c:pt>
                <c:pt idx="590">
                  <c:v>-3.2706518630189141</c:v>
                </c:pt>
                <c:pt idx="591">
                  <c:v>-3.2826837215859732</c:v>
                </c:pt>
                <c:pt idx="592">
                  <c:v>-3.2947156044374646</c:v>
                </c:pt>
                <c:pt idx="593">
                  <c:v>-3.3067475115730072</c:v>
                </c:pt>
                <c:pt idx="594">
                  <c:v>-3.3187794429922204</c:v>
                </c:pt>
                <c:pt idx="595">
                  <c:v>-3.3308113986947228</c:v>
                </c:pt>
                <c:pt idx="596">
                  <c:v>-3.3428433786801337</c:v>
                </c:pt>
                <c:pt idx="597">
                  <c:v>-3.3548753829480717</c:v>
                </c:pt>
                <c:pt idx="598">
                  <c:v>-3.3669074114981563</c:v>
                </c:pt>
                <c:pt idx="599">
                  <c:v>-3.3789394643300064</c:v>
                </c:pt>
                <c:pt idx="600">
                  <c:v>-3.3909715414432413</c:v>
                </c:pt>
                <c:pt idx="601">
                  <c:v>-3.4030036428374797</c:v>
                </c:pt>
                <c:pt idx="602">
                  <c:v>-3.4150357685123409</c:v>
                </c:pt>
                <c:pt idx="603">
                  <c:v>-3.427067918467444</c:v>
                </c:pt>
                <c:pt idx="604">
                  <c:v>-3.4391000927024078</c:v>
                </c:pt>
                <c:pt idx="605">
                  <c:v>-3.4511322912168514</c:v>
                </c:pt>
                <c:pt idx="606">
                  <c:v>-3.4631645140103942</c:v>
                </c:pt>
                <c:pt idx="607">
                  <c:v>-3.4751967610826551</c:v>
                </c:pt>
                <c:pt idx="608">
                  <c:v>-3.4872290324332531</c:v>
                </c:pt>
                <c:pt idx="609">
                  <c:v>-3.4992613280618072</c:v>
                </c:pt>
                <c:pt idx="610">
                  <c:v>-3.5112936479679369</c:v>
                </c:pt>
                <c:pt idx="611">
                  <c:v>-3.523325992151261</c:v>
                </c:pt>
                <c:pt idx="612">
                  <c:v>-3.5353583606113985</c:v>
                </c:pt>
                <c:pt idx="613">
                  <c:v>-3.5473907533479685</c:v>
                </c:pt>
                <c:pt idx="614">
                  <c:v>-3.5594231703605903</c:v>
                </c:pt>
                <c:pt idx="615">
                  <c:v>-3.5714556116488829</c:v>
                </c:pt>
                <c:pt idx="616">
                  <c:v>-3.5834880772124653</c:v>
                </c:pt>
                <c:pt idx="617">
                  <c:v>-3.5955205670509569</c:v>
                </c:pt>
                <c:pt idx="618">
                  <c:v>-3.6075530811639767</c:v>
                </c:pt>
                <c:pt idx="619">
                  <c:v>-3.6195856195511436</c:v>
                </c:pt>
                <c:pt idx="620">
                  <c:v>-3.6316181822120766</c:v>
                </c:pt>
                <c:pt idx="621">
                  <c:v>-3.6436507691463951</c:v>
                </c:pt>
                <c:pt idx="622">
                  <c:v>-3.6556833803537181</c:v>
                </c:pt>
                <c:pt idx="623">
                  <c:v>-3.667716015833665</c:v>
                </c:pt>
                <c:pt idx="624">
                  <c:v>-3.6797486755858548</c:v>
                </c:pt>
                <c:pt idx="625">
                  <c:v>-3.6917813596099065</c:v>
                </c:pt>
                <c:pt idx="626">
                  <c:v>-3.7038140679054394</c:v>
                </c:pt>
                <c:pt idx="627">
                  <c:v>-3.7158468004720726</c:v>
                </c:pt>
                <c:pt idx="628">
                  <c:v>-3.727879557309425</c:v>
                </c:pt>
                <c:pt idx="629">
                  <c:v>-3.739912338417116</c:v>
                </c:pt>
                <c:pt idx="630">
                  <c:v>-3.7519451437947646</c:v>
                </c:pt>
                <c:pt idx="631">
                  <c:v>-3.7639779734419903</c:v>
                </c:pt>
                <c:pt idx="632">
                  <c:v>-3.7760108273584119</c:v>
                </c:pt>
                <c:pt idx="633">
                  <c:v>-3.7880437055436484</c:v>
                </c:pt>
                <c:pt idx="634">
                  <c:v>-3.8000766079973194</c:v>
                </c:pt>
                <c:pt idx="635">
                  <c:v>-3.8121095347190437</c:v>
                </c:pt>
                <c:pt idx="636">
                  <c:v>-3.8241424857084407</c:v>
                </c:pt>
                <c:pt idx="637">
                  <c:v>-3.8361754609651295</c:v>
                </c:pt>
                <c:pt idx="638">
                  <c:v>-3.8482084604887294</c:v>
                </c:pt>
                <c:pt idx="639">
                  <c:v>-3.8602414842788595</c:v>
                </c:pt>
                <c:pt idx="640">
                  <c:v>-3.8722745323351386</c:v>
                </c:pt>
                <c:pt idx="641">
                  <c:v>-3.8843076046571863</c:v>
                </c:pt>
                <c:pt idx="642">
                  <c:v>-3.8963407012446218</c:v>
                </c:pt>
                <c:pt idx="643">
                  <c:v>-3.9083738220970643</c:v>
                </c:pt>
                <c:pt idx="644">
                  <c:v>-3.9204069672141326</c:v>
                </c:pt>
                <c:pt idx="645">
                  <c:v>-3.9324401365954462</c:v>
                </c:pt>
                <c:pt idx="646">
                  <c:v>-3.9444733302406241</c:v>
                </c:pt>
                <c:pt idx="647">
                  <c:v>-3.9565065481492856</c:v>
                </c:pt>
                <c:pt idx="648">
                  <c:v>-3.9685397903210502</c:v>
                </c:pt>
                <c:pt idx="649">
                  <c:v>-3.9805730567555369</c:v>
                </c:pt>
                <c:pt idx="650">
                  <c:v>-3.9926063474523645</c:v>
                </c:pt>
                <c:pt idx="651">
                  <c:v>-4.0046396624111527</c:v>
                </c:pt>
                <c:pt idx="652">
                  <c:v>-4.0166730016315206</c:v>
                </c:pt>
                <c:pt idx="653">
                  <c:v>-4.0287063651130879</c:v>
                </c:pt>
                <c:pt idx="654">
                  <c:v>-4.0407397528554725</c:v>
                </c:pt>
                <c:pt idx="655">
                  <c:v>-4.0527731648582952</c:v>
                </c:pt>
                <c:pt idx="656">
                  <c:v>-4.0648066011211741</c:v>
                </c:pt>
                <c:pt idx="657">
                  <c:v>-4.076840061643729</c:v>
                </c:pt>
                <c:pt idx="658">
                  <c:v>-4.088873546425579</c:v>
                </c:pt>
                <c:pt idx="659">
                  <c:v>-4.1009070554663429</c:v>
                </c:pt>
                <c:pt idx="660">
                  <c:v>-4.1129405887656407</c:v>
                </c:pt>
                <c:pt idx="661">
                  <c:v>-4.1249741463230905</c:v>
                </c:pt>
                <c:pt idx="662">
                  <c:v>-4.1370077281383129</c:v>
                </c:pt>
                <c:pt idx="663">
                  <c:v>-4.149041334210926</c:v>
                </c:pt>
                <c:pt idx="664">
                  <c:v>-4.1610749645405498</c:v>
                </c:pt>
                <c:pt idx="665">
                  <c:v>-4.1731086191268032</c:v>
                </c:pt>
                <c:pt idx="666">
                  <c:v>-4.185142297969306</c:v>
                </c:pt>
                <c:pt idx="667">
                  <c:v>-4.1971760010676764</c:v>
                </c:pt>
                <c:pt idx="668">
                  <c:v>-4.2092097284215351</c:v>
                </c:pt>
                <c:pt idx="669">
                  <c:v>-4.2212434800305001</c:v>
                </c:pt>
                <c:pt idx="670">
                  <c:v>-4.2332772558941913</c:v>
                </c:pt>
                <c:pt idx="671">
                  <c:v>-4.2453110560122278</c:v>
                </c:pt>
                <c:pt idx="672">
                  <c:v>-4.2573448803842284</c:v>
                </c:pt>
                <c:pt idx="673">
                  <c:v>-4.2693787290098131</c:v>
                </c:pt>
                <c:pt idx="674">
                  <c:v>-4.2814126018886007</c:v>
                </c:pt>
                <c:pt idx="675">
                  <c:v>-4.2934464990202112</c:v>
                </c:pt>
                <c:pt idx="676">
                  <c:v>-4.3054804204042636</c:v>
                </c:pt>
                <c:pt idx="677">
                  <c:v>-4.3175143660403767</c:v>
                </c:pt>
                <c:pt idx="678">
                  <c:v>-4.3295483359281697</c:v>
                </c:pt>
                <c:pt idx="679">
                  <c:v>-4.3415823300672622</c:v>
                </c:pt>
                <c:pt idx="680">
                  <c:v>-4.3536163484572743</c:v>
                </c:pt>
                <c:pt idx="681">
                  <c:v>-4.3656503910978239</c:v>
                </c:pt>
                <c:pt idx="682">
                  <c:v>-4.377684457988531</c:v>
                </c:pt>
                <c:pt idx="683">
                  <c:v>-4.3897185491290154</c:v>
                </c:pt>
                <c:pt idx="684">
                  <c:v>-4.401752664518896</c:v>
                </c:pt>
                <c:pt idx="685">
                  <c:v>-4.4137868041577919</c:v>
                </c:pt>
                <c:pt idx="686">
                  <c:v>-4.425820968045322</c:v>
                </c:pt>
                <c:pt idx="687">
                  <c:v>-4.4378551561811062</c:v>
                </c:pt>
                <c:pt idx="688">
                  <c:v>-4.4498893685647642</c:v>
                </c:pt>
                <c:pt idx="689">
                  <c:v>-4.4619236051959152</c:v>
                </c:pt>
                <c:pt idx="690">
                  <c:v>-4.4739578660741781</c:v>
                </c:pt>
                <c:pt idx="691">
                  <c:v>-4.4859921511991718</c:v>
                </c:pt>
                <c:pt idx="692">
                  <c:v>-4.4980264605705162</c:v>
                </c:pt>
                <c:pt idx="693">
                  <c:v>-4.5100607941878312</c:v>
                </c:pt>
                <c:pt idx="694">
                  <c:v>-4.5220951520507358</c:v>
                </c:pt>
                <c:pt idx="695">
                  <c:v>-4.5341295341588488</c:v>
                </c:pt>
                <c:pt idx="696">
                  <c:v>-4.5461639405117893</c:v>
                </c:pt>
                <c:pt idx="697">
                  <c:v>-4.5581983711091771</c:v>
                </c:pt>
                <c:pt idx="698">
                  <c:v>-4.5702328259506322</c:v>
                </c:pt>
                <c:pt idx="699">
                  <c:v>-4.5822673050357734</c:v>
                </c:pt>
                <c:pt idx="700">
                  <c:v>-4.5943018083642198</c:v>
                </c:pt>
                <c:pt idx="701">
                  <c:v>-4.6063363359355911</c:v>
                </c:pt>
                <c:pt idx="702">
                  <c:v>-4.6183708877495064</c:v>
                </c:pt>
                <c:pt idx="703">
                  <c:v>-4.6304054638055856</c:v>
                </c:pt>
                <c:pt idx="704">
                  <c:v>-4.6424400641034476</c:v>
                </c:pt>
                <c:pt idx="705">
                  <c:v>-4.6544746886427122</c:v>
                </c:pt>
                <c:pt idx="706">
                  <c:v>-4.6665093374229984</c:v>
                </c:pt>
                <c:pt idx="707">
                  <c:v>-4.6785440104439253</c:v>
                </c:pt>
                <c:pt idx="708">
                  <c:v>-4.6905787077051126</c:v>
                </c:pt>
                <c:pt idx="709">
                  <c:v>-4.7026134292061803</c:v>
                </c:pt>
                <c:pt idx="710">
                  <c:v>-4.7146481749467473</c:v>
                </c:pt>
                <c:pt idx="711">
                  <c:v>-4.7266829449264325</c:v>
                </c:pt>
                <c:pt idx="712">
                  <c:v>-4.7387177391448558</c:v>
                </c:pt>
                <c:pt idx="713">
                  <c:v>-4.7507525576016363</c:v>
                </c:pt>
                <c:pt idx="714">
                  <c:v>-4.7627874002963937</c:v>
                </c:pt>
                <c:pt idx="715">
                  <c:v>-4.7748222672287479</c:v>
                </c:pt>
                <c:pt idx="716">
                  <c:v>-4.786857158398317</c:v>
                </c:pt>
                <c:pt idx="717">
                  <c:v>-4.7988920738047218</c:v>
                </c:pt>
                <c:pt idx="718">
                  <c:v>-4.8109270134475812</c:v>
                </c:pt>
                <c:pt idx="719">
                  <c:v>-4.8229619773265142</c:v>
                </c:pt>
                <c:pt idx="720">
                  <c:v>-4.8349969654411407</c:v>
                </c:pt>
                <c:pt idx="721">
                  <c:v>-4.8470319777910795</c:v>
                </c:pt>
                <c:pt idx="722">
                  <c:v>-4.8590670143759507</c:v>
                </c:pt>
                <c:pt idx="723">
                  <c:v>-4.8711020751953731</c:v>
                </c:pt>
                <c:pt idx="724">
                  <c:v>-4.8831371602489666</c:v>
                </c:pt>
                <c:pt idx="725">
                  <c:v>-4.8951722695363502</c:v>
                </c:pt>
                <c:pt idx="726">
                  <c:v>-4.9072074030571438</c:v>
                </c:pt>
                <c:pt idx="727">
                  <c:v>-4.9192425608109671</c:v>
                </c:pt>
                <c:pt idx="728">
                  <c:v>-4.9312777427974392</c:v>
                </c:pt>
                <c:pt idx="729">
                  <c:v>-4.9433129490161791</c:v>
                </c:pt>
                <c:pt idx="730">
                  <c:v>-4.9553481794668066</c:v>
                </c:pt>
                <c:pt idx="731">
                  <c:v>-4.9673834341489416</c:v>
                </c:pt>
                <c:pt idx="732">
                  <c:v>-4.979418713062203</c:v>
                </c:pt>
                <c:pt idx="733">
                  <c:v>-4.9914540162062107</c:v>
                </c:pt>
                <c:pt idx="734">
                  <c:v>-5.0034893435805836</c:v>
                </c:pt>
                <c:pt idx="735">
                  <c:v>-5.0155246951849417</c:v>
                </c:pt>
                <c:pt idx="736">
                  <c:v>-5.0275600710189039</c:v>
                </c:pt>
                <c:pt idx="737">
                  <c:v>-5.0395954710820901</c:v>
                </c:pt>
                <c:pt idx="738">
                  <c:v>-5.0516308953741191</c:v>
                </c:pt>
                <c:pt idx="739">
                  <c:v>-5.063666343894611</c:v>
                </c:pt>
                <c:pt idx="740">
                  <c:v>-5.0757018166431855</c:v>
                </c:pt>
                <c:pt idx="741">
                  <c:v>-5.0877373136194617</c:v>
                </c:pt>
                <c:pt idx="742">
                  <c:v>-5.0997728348230593</c:v>
                </c:pt>
                <c:pt idx="743">
                  <c:v>-5.1118083802535974</c:v>
                </c:pt>
                <c:pt idx="744">
                  <c:v>-5.1238439499106958</c:v>
                </c:pt>
                <c:pt idx="745">
                  <c:v>-5.1358795437939744</c:v>
                </c:pt>
                <c:pt idx="746">
                  <c:v>-5.1479151619030521</c:v>
                </c:pt>
                <c:pt idx="747">
                  <c:v>-5.1599508042375479</c:v>
                </c:pt>
                <c:pt idx="748">
                  <c:v>-5.1719864707970826</c:v>
                </c:pt>
                <c:pt idx="749">
                  <c:v>-5.1840221615812752</c:v>
                </c:pt>
                <c:pt idx="750">
                  <c:v>-5.1960578765897445</c:v>
                </c:pt>
                <c:pt idx="751">
                  <c:v>-5.2080936158221105</c:v>
                </c:pt>
                <c:pt idx="752">
                  <c:v>-5.220129379277993</c:v>
                </c:pt>
                <c:pt idx="753">
                  <c:v>-5.2321651669570111</c:v>
                </c:pt>
                <c:pt idx="754">
                  <c:v>-5.2442009788587844</c:v>
                </c:pt>
                <c:pt idx="755">
                  <c:v>-5.256236814982933</c:v>
                </c:pt>
                <c:pt idx="756">
                  <c:v>-5.2682726753290758</c:v>
                </c:pt>
                <c:pt idx="757">
                  <c:v>-5.2803085598968327</c:v>
                </c:pt>
                <c:pt idx="758">
                  <c:v>-5.2923444686858225</c:v>
                </c:pt>
                <c:pt idx="759">
                  <c:v>-5.3043804016956662</c:v>
                </c:pt>
                <c:pt idx="760">
                  <c:v>-5.3164163589259816</c:v>
                </c:pt>
                <c:pt idx="761">
                  <c:v>-5.3284523403763897</c:v>
                </c:pt>
                <c:pt idx="762">
                  <c:v>-5.3404883460465093</c:v>
                </c:pt>
                <c:pt idx="763">
                  <c:v>-5.3525243759359595</c:v>
                </c:pt>
                <c:pt idx="764">
                  <c:v>-5.364560430044361</c:v>
                </c:pt>
                <c:pt idx="765">
                  <c:v>-5.3765965083713327</c:v>
                </c:pt>
                <c:pt idx="766">
                  <c:v>-5.3886326109164946</c:v>
                </c:pt>
                <c:pt idx="767">
                  <c:v>-5.4006687376794655</c:v>
                </c:pt>
                <c:pt idx="768">
                  <c:v>-5.4127048886598654</c:v>
                </c:pt>
                <c:pt idx="769">
                  <c:v>-5.4247410638573141</c:v>
                </c:pt>
                <c:pt idx="770">
                  <c:v>-5.4367772632714306</c:v>
                </c:pt>
                <c:pt idx="771">
                  <c:v>-5.4488134869018348</c:v>
                </c:pt>
                <c:pt idx="772">
                  <c:v>-5.4608497347481464</c:v>
                </c:pt>
                <c:pt idx="773">
                  <c:v>-5.4728860068099845</c:v>
                </c:pt>
                <c:pt idx="774">
                  <c:v>-5.4849223030869689</c:v>
                </c:pt>
                <c:pt idx="775">
                  <c:v>-5.4969586235787196</c:v>
                </c:pt>
                <c:pt idx="776">
                  <c:v>-5.5089949682848554</c:v>
                </c:pt>
                <c:pt idx="777">
                  <c:v>-5.5210313372049971</c:v>
                </c:pt>
                <c:pt idx="778">
                  <c:v>-5.5330677303387628</c:v>
                </c:pt>
                <c:pt idx="779">
                  <c:v>-5.5451041476857732</c:v>
                </c:pt>
                <c:pt idx="780">
                  <c:v>-5.5571405892456474</c:v>
                </c:pt>
                <c:pt idx="781">
                  <c:v>-5.5691770550180051</c:v>
                </c:pt>
                <c:pt idx="782">
                  <c:v>-5.5812135450024662</c:v>
                </c:pt>
                <c:pt idx="783">
                  <c:v>-5.5932500591986498</c:v>
                </c:pt>
                <c:pt idx="784">
                  <c:v>-5.6052865976061756</c:v>
                </c:pt>
                <c:pt idx="785">
                  <c:v>-5.6173231602246636</c:v>
                </c:pt>
                <c:pt idx="786">
                  <c:v>-5.6293597470537335</c:v>
                </c:pt>
                <c:pt idx="787">
                  <c:v>-5.6413963580930044</c:v>
                </c:pt>
                <c:pt idx="788">
                  <c:v>-5.6534329933420961</c:v>
                </c:pt>
                <c:pt idx="789">
                  <c:v>-5.6654696528006285</c:v>
                </c:pt>
                <c:pt idx="790">
                  <c:v>-5.6775063364682214</c:v>
                </c:pt>
                <c:pt idx="791">
                  <c:v>-5.6895430443444939</c:v>
                </c:pt>
                <c:pt idx="792">
                  <c:v>-5.7015797764290657</c:v>
                </c:pt>
                <c:pt idx="793">
                  <c:v>-5.7136165327215567</c:v>
                </c:pt>
                <c:pt idx="794">
                  <c:v>-5.7256533132215859</c:v>
                </c:pt>
                <c:pt idx="795">
                  <c:v>-5.737690117928774</c:v>
                </c:pt>
                <c:pt idx="796">
                  <c:v>-5.7497269468427401</c:v>
                </c:pt>
                <c:pt idx="797">
                  <c:v>-5.7617637999631039</c:v>
                </c:pt>
                <c:pt idx="798">
                  <c:v>-5.7738006772894845</c:v>
                </c:pt>
                <c:pt idx="799">
                  <c:v>-5.7858375788215026</c:v>
                </c:pt>
                <c:pt idx="800">
                  <c:v>-5.7978745045587772</c:v>
                </c:pt>
                <c:pt idx="801">
                  <c:v>-5.8099114545009281</c:v>
                </c:pt>
                <c:pt idx="802">
                  <c:v>-5.8219484286475742</c:v>
                </c:pt>
                <c:pt idx="803">
                  <c:v>-5.8339854269983364</c:v>
                </c:pt>
                <c:pt idx="804">
                  <c:v>-5.8460224495528337</c:v>
                </c:pt>
                <c:pt idx="805">
                  <c:v>-5.8580594963106858</c:v>
                </c:pt>
                <c:pt idx="806">
                  <c:v>-5.8700965672715126</c:v>
                </c:pt>
                <c:pt idx="807">
                  <c:v>-5.8821336624349341</c:v>
                </c:pt>
                <c:pt idx="808">
                  <c:v>-5.8941707818005691</c:v>
                </c:pt>
                <c:pt idx="809">
                  <c:v>-5.9062079253680384</c:v>
                </c:pt>
                <c:pt idx="810">
                  <c:v>-5.918245093136961</c:v>
                </c:pt>
                <c:pt idx="811">
                  <c:v>-5.9302822851069568</c:v>
                </c:pt>
                <c:pt idx="812">
                  <c:v>-5.9423195012776455</c:v>
                </c:pt>
                <c:pt idx="813">
                  <c:v>-5.9543567416486463</c:v>
                </c:pt>
                <c:pt idx="814">
                  <c:v>-5.9663940062195797</c:v>
                </c:pt>
                <c:pt idx="815">
                  <c:v>-5.9784312949900649</c:v>
                </c:pt>
                <c:pt idx="816">
                  <c:v>-5.9904686079597216</c:v>
                </c:pt>
                <c:pt idx="817">
                  <c:v>-6.0025059451281697</c:v>
                </c:pt>
                <c:pt idx="818">
                  <c:v>-6.0145433064950282</c:v>
                </c:pt>
                <c:pt idx="819">
                  <c:v>-6.0265806920599179</c:v>
                </c:pt>
                <c:pt idx="820">
                  <c:v>-6.0386181018224576</c:v>
                </c:pt>
                <c:pt idx="821">
                  <c:v>-6.0506555357822682</c:v>
                </c:pt>
                <c:pt idx="822">
                  <c:v>-6.0626929939389687</c:v>
                </c:pt>
                <c:pt idx="823">
                  <c:v>-6.0747304762921788</c:v>
                </c:pt>
                <c:pt idx="824">
                  <c:v>-6.0867679828415184</c:v>
                </c:pt>
                <c:pt idx="825">
                  <c:v>-6.0988055135866066</c:v>
                </c:pt>
                <c:pt idx="826">
                  <c:v>-6.110843068527064</c:v>
                </c:pt>
                <c:pt idx="827">
                  <c:v>-6.1228806476625097</c:v>
                </c:pt>
                <c:pt idx="828">
                  <c:v>-6.1349182509925635</c:v>
                </c:pt>
                <c:pt idx="829">
                  <c:v>-6.1469558785168461</c:v>
                </c:pt>
                <c:pt idx="830">
                  <c:v>-6.1589935302349765</c:v>
                </c:pt>
                <c:pt idx="831">
                  <c:v>-6.1710312061465746</c:v>
                </c:pt>
                <c:pt idx="832">
                  <c:v>-6.1830689062512594</c:v>
                </c:pt>
                <c:pt idx="833">
                  <c:v>-6.1951066305486515</c:v>
                </c:pt>
                <c:pt idx="834">
                  <c:v>-6.2071443790383709</c:v>
                </c:pt>
                <c:pt idx="835">
                  <c:v>-6.2191821517200365</c:v>
                </c:pt>
                <c:pt idx="836">
                  <c:v>-6.2312199485932691</c:v>
                </c:pt>
                <c:pt idx="837">
                  <c:v>-6.2432577696576876</c:v>
                </c:pt>
                <c:pt idx="838">
                  <c:v>-6.255295614912912</c:v>
                </c:pt>
                <c:pt idx="839">
                  <c:v>-6.267333484358562</c:v>
                </c:pt>
                <c:pt idx="840">
                  <c:v>-6.2793713779942575</c:v>
                </c:pt>
                <c:pt idx="841">
                  <c:v>-6.2914092958196184</c:v>
                </c:pt>
                <c:pt idx="842">
                  <c:v>-6.3034472378342645</c:v>
                </c:pt>
                <c:pt idx="843">
                  <c:v>-6.3154852040378158</c:v>
                </c:pt>
                <c:pt idx="844">
                  <c:v>-6.3275231944298911</c:v>
                </c:pt>
                <c:pt idx="845">
                  <c:v>-6.3395612090101112</c:v>
                </c:pt>
                <c:pt idx="846">
                  <c:v>-6.351599247778096</c:v>
                </c:pt>
                <c:pt idx="847">
                  <c:v>-6.3636373107334645</c:v>
                </c:pt>
                <c:pt idx="848">
                  <c:v>-6.3756753978758374</c:v>
                </c:pt>
                <c:pt idx="849">
                  <c:v>-6.3877135092048336</c:v>
                </c:pt>
                <c:pt idx="850">
                  <c:v>-6.3997516447200731</c:v>
                </c:pt>
                <c:pt idx="851">
                  <c:v>-6.4117898044211765</c:v>
                </c:pt>
                <c:pt idx="852">
                  <c:v>-6.4238279883077629</c:v>
                </c:pt>
                <c:pt idx="853">
                  <c:v>-6.4358661963794521</c:v>
                </c:pt>
                <c:pt idx="854">
                  <c:v>-6.447904428635864</c:v>
                </c:pt>
                <c:pt idx="855">
                  <c:v>-6.4599426850766184</c:v>
                </c:pt>
                <c:pt idx="856">
                  <c:v>-6.4719809657013352</c:v>
                </c:pt>
                <c:pt idx="857">
                  <c:v>-6.4840192705096342</c:v>
                </c:pt>
                <c:pt idx="858">
                  <c:v>-6.4960575995011354</c:v>
                </c:pt>
                <c:pt idx="859">
                  <c:v>-6.5080959526754585</c:v>
                </c:pt>
                <c:pt idx="860">
                  <c:v>-6.5201343300322234</c:v>
                </c:pt>
                <c:pt idx="861">
                  <c:v>-6.5321727315710501</c:v>
                </c:pt>
                <c:pt idx="862">
                  <c:v>-6.5442111572915582</c:v>
                </c:pt>
                <c:pt idx="863">
                  <c:v>-6.5562496071933678</c:v>
                </c:pt>
                <c:pt idx="864">
                  <c:v>-6.5682880812760986</c:v>
                </c:pt>
                <c:pt idx="865">
                  <c:v>-6.5803265795393706</c:v>
                </c:pt>
                <c:pt idx="866">
                  <c:v>-6.5923651019828036</c:v>
                </c:pt>
                <c:pt idx="867">
                  <c:v>-6.6044036486060174</c:v>
                </c:pt>
                <c:pt idx="868">
                  <c:v>-6.6164422194086319</c:v>
                </c:pt>
                <c:pt idx="869">
                  <c:v>-6.6284808143902669</c:v>
                </c:pt>
                <c:pt idx="870">
                  <c:v>-6.6405194335505424</c:v>
                </c:pt>
                <c:pt idx="871">
                  <c:v>-6.6525580768890782</c:v>
                </c:pt>
                <c:pt idx="872">
                  <c:v>-6.6645967444054941</c:v>
                </c:pt>
                <c:pt idx="873">
                  <c:v>-6.67663543609941</c:v>
                </c:pt>
                <c:pt idx="874">
                  <c:v>-6.6886741519704458</c:v>
                </c:pt>
                <c:pt idx="875">
                  <c:v>-6.7007128920182213</c:v>
                </c:pt>
                <c:pt idx="876">
                  <c:v>-6.7127516562423564</c:v>
                </c:pt>
                <c:pt idx="877">
                  <c:v>-6.7247904446424709</c:v>
                </c:pt>
                <c:pt idx="878">
                  <c:v>-6.7368292572181856</c:v>
                </c:pt>
                <c:pt idx="879">
                  <c:v>-6.7488680939691195</c:v>
                </c:pt>
                <c:pt idx="880">
                  <c:v>-6.7609069548948924</c:v>
                </c:pt>
                <c:pt idx="881">
                  <c:v>-6.772945839995125</c:v>
                </c:pt>
                <c:pt idx="882">
                  <c:v>-6.7849847492694364</c:v>
                </c:pt>
                <c:pt idx="883">
                  <c:v>-6.7970236827174473</c:v>
                </c:pt>
                <c:pt idx="884">
                  <c:v>-6.8090626403387766</c:v>
                </c:pt>
                <c:pt idx="885">
                  <c:v>-6.8211016221330452</c:v>
                </c:pt>
                <c:pt idx="886">
                  <c:v>-6.8331406280998719</c:v>
                </c:pt>
                <c:pt idx="887">
                  <c:v>-6.8451796582388775</c:v>
                </c:pt>
                <c:pt idx="888">
                  <c:v>-6.857218712549682</c:v>
                </c:pt>
                <c:pt idx="889">
                  <c:v>-6.869257791031905</c:v>
                </c:pt>
                <c:pt idx="890">
                  <c:v>-6.8812968936851666</c:v>
                </c:pt>
                <c:pt idx="891">
                  <c:v>-6.8933360205090866</c:v>
                </c:pt>
                <c:pt idx="892">
                  <c:v>-6.9053751715032847</c:v>
                </c:pt>
                <c:pt idx="893">
                  <c:v>-6.917414346667381</c:v>
                </c:pt>
                <c:pt idx="894">
                  <c:v>-6.9294535460009961</c:v>
                </c:pt>
                <c:pt idx="895">
                  <c:v>-6.9414927695037489</c:v>
                </c:pt>
                <c:pt idx="896">
                  <c:v>-6.9535320171752604</c:v>
                </c:pt>
                <c:pt idx="897">
                  <c:v>-6.9655712890151502</c:v>
                </c:pt>
                <c:pt idx="898">
                  <c:v>-6.9776105850230374</c:v>
                </c:pt>
                <c:pt idx="899">
                  <c:v>-6.9896499051985428</c:v>
                </c:pt>
                <c:pt idx="900">
                  <c:v>-7.0016892495412861</c:v>
                </c:pt>
                <c:pt idx="901">
                  <c:v>-7.0137286180508873</c:v>
                </c:pt>
                <c:pt idx="902">
                  <c:v>-7.0257680107269671</c:v>
                </c:pt>
                <c:pt idx="903">
                  <c:v>-7.0378074275691445</c:v>
                </c:pt>
                <c:pt idx="904">
                  <c:v>-7.0498468685770392</c:v>
                </c:pt>
                <c:pt idx="905">
                  <c:v>-7.0618863337502722</c:v>
                </c:pt>
                <c:pt idx="906">
                  <c:v>-7.0739258230884632</c:v>
                </c:pt>
                <c:pt idx="907">
                  <c:v>-7.0859653365912321</c:v>
                </c:pt>
                <c:pt idx="908">
                  <c:v>-7.0980048742581987</c:v>
                </c:pt>
                <c:pt idx="909">
                  <c:v>-7.110044436088983</c:v>
                </c:pt>
                <c:pt idx="910">
                  <c:v>-7.1220840220832056</c:v>
                </c:pt>
                <c:pt idx="911">
                  <c:v>-7.1341236322404855</c:v>
                </c:pt>
                <c:pt idx="912">
                  <c:v>-7.1461632665604435</c:v>
                </c:pt>
                <c:pt idx="913">
                  <c:v>-7.1582029250426995</c:v>
                </c:pt>
                <c:pt idx="914">
                  <c:v>-7.1702426076868733</c:v>
                </c:pt>
                <c:pt idx="915">
                  <c:v>-7.1822823144925847</c:v>
                </c:pt>
                <c:pt idx="916">
                  <c:v>-7.1943220454594536</c:v>
                </c:pt>
                <c:pt idx="917">
                  <c:v>-7.2063618005871009</c:v>
                </c:pt>
                <c:pt idx="918">
                  <c:v>-7.2184015798751453</c:v>
                </c:pt>
                <c:pt idx="919">
                  <c:v>-7.2304413833232077</c:v>
                </c:pt>
                <c:pt idx="920">
                  <c:v>-7.242481210930908</c:v>
                </c:pt>
                <c:pt idx="921">
                  <c:v>-7.2545210626978669</c:v>
                </c:pt>
                <c:pt idx="922">
                  <c:v>-7.2665609386237033</c:v>
                </c:pt>
                <c:pt idx="923">
                  <c:v>-7.2786008387080381</c:v>
                </c:pt>
                <c:pt idx="924">
                  <c:v>-7.290640762950491</c:v>
                </c:pt>
                <c:pt idx="925">
                  <c:v>-7.302680711350682</c:v>
                </c:pt>
                <c:pt idx="926">
                  <c:v>-7.3147206839082308</c:v>
                </c:pt>
                <c:pt idx="927">
                  <c:v>-7.3267606806227574</c:v>
                </c:pt>
                <c:pt idx="928">
                  <c:v>-7.3388007014938825</c:v>
                </c:pt>
                <c:pt idx="929">
                  <c:v>-7.350840746521226</c:v>
                </c:pt>
                <c:pt idx="930">
                  <c:v>-7.3628808157044077</c:v>
                </c:pt>
                <c:pt idx="931">
                  <c:v>-7.3749209090430474</c:v>
                </c:pt>
                <c:pt idx="932">
                  <c:v>-7.386961026536766</c:v>
                </c:pt>
                <c:pt idx="933">
                  <c:v>-7.3990011681851833</c:v>
                </c:pt>
                <c:pt idx="934">
                  <c:v>-7.4110413339879191</c:v>
                </c:pt>
                <c:pt idx="935">
                  <c:v>-7.4230815239445933</c:v>
                </c:pt>
                <c:pt idx="936">
                  <c:v>-7.4351217380548258</c:v>
                </c:pt>
                <c:pt idx="937">
                  <c:v>-7.4471619763182373</c:v>
                </c:pt>
                <c:pt idx="938">
                  <c:v>-7.4592022387344477</c:v>
                </c:pt>
                <c:pt idx="939">
                  <c:v>-7.4712425253030768</c:v>
                </c:pt>
                <c:pt idx="940">
                  <c:v>-7.4832828360237453</c:v>
                </c:pt>
                <c:pt idx="941">
                  <c:v>-7.4953231708960733</c:v>
                </c:pt>
                <c:pt idx="942">
                  <c:v>-7.5073635299196804</c:v>
                </c:pt>
                <c:pt idx="943">
                  <c:v>-7.5194039130941865</c:v>
                </c:pt>
                <c:pt idx="944">
                  <c:v>-7.5314443204192116</c:v>
                </c:pt>
                <c:pt idx="945">
                  <c:v>-7.5434847518943764</c:v>
                </c:pt>
                <c:pt idx="946">
                  <c:v>-7.5555252075193007</c:v>
                </c:pt>
                <c:pt idx="947">
                  <c:v>-7.5675656872936052</c:v>
                </c:pt>
                <c:pt idx="948">
                  <c:v>-7.579606191216909</c:v>
                </c:pt>
                <c:pt idx="949">
                  <c:v>-7.5916467192888328</c:v>
                </c:pt>
                <c:pt idx="950">
                  <c:v>-7.6036872715089974</c:v>
                </c:pt>
                <c:pt idx="951">
                  <c:v>-7.6157278478770216</c:v>
                </c:pt>
                <c:pt idx="952">
                  <c:v>-7.6277684483925263</c:v>
                </c:pt>
                <c:pt idx="953">
                  <c:v>-7.6398090730551313</c:v>
                </c:pt>
                <c:pt idx="954">
                  <c:v>-7.6518497218644566</c:v>
                </c:pt>
                <c:pt idx="955">
                  <c:v>-7.6638903948201227</c:v>
                </c:pt>
                <c:pt idx="956">
                  <c:v>-7.6759310919217496</c:v>
                </c:pt>
                <c:pt idx="957">
                  <c:v>-7.6879718131689572</c:v>
                </c:pt>
                <c:pt idx="958">
                  <c:v>-7.7000125585613661</c:v>
                </c:pt>
                <c:pt idx="959">
                  <c:v>-7.7120533280985963</c:v>
                </c:pt>
                <c:pt idx="960">
                  <c:v>-7.7240941217802677</c:v>
                </c:pt>
                <c:pt idx="961">
                  <c:v>-7.7361349396060008</c:v>
                </c:pt>
                <c:pt idx="962">
                  <c:v>-7.7481757815754158</c:v>
                </c:pt>
                <c:pt idx="963">
                  <c:v>-7.7602166476881322</c:v>
                </c:pt>
                <c:pt idx="964">
                  <c:v>-7.7722575379437711</c:v>
                </c:pt>
                <c:pt idx="965">
                  <c:v>-7.7842984523419521</c:v>
                </c:pt>
                <c:pt idx="966">
                  <c:v>-7.7963393908822951</c:v>
                </c:pt>
                <c:pt idx="967">
                  <c:v>-7.8083803535644201</c:v>
                </c:pt>
                <c:pt idx="968">
                  <c:v>-7.8204213403879477</c:v>
                </c:pt>
                <c:pt idx="969">
                  <c:v>-7.8324623513524987</c:v>
                </c:pt>
                <c:pt idx="970">
                  <c:v>-7.8445033864576921</c:v>
                </c:pt>
                <c:pt idx="971">
                  <c:v>-7.8565444457031495</c:v>
                </c:pt>
                <c:pt idx="972">
                  <c:v>-7.8685855290884898</c:v>
                </c:pt>
                <c:pt idx="973">
                  <c:v>-7.880626636613334</c:v>
                </c:pt>
                <c:pt idx="974">
                  <c:v>-7.8926677682773017</c:v>
                </c:pt>
                <c:pt idx="975">
                  <c:v>-7.9047089240800128</c:v>
                </c:pt>
                <c:pt idx="976">
                  <c:v>-7.9167501040210881</c:v>
                </c:pt>
                <c:pt idx="977">
                  <c:v>-7.9287913081001475</c:v>
                </c:pt>
                <c:pt idx="978">
                  <c:v>-7.9408325363168117</c:v>
                </c:pt>
                <c:pt idx="979">
                  <c:v>-7.9528737886707006</c:v>
                </c:pt>
                <c:pt idx="980">
                  <c:v>-7.9649150651614349</c:v>
                </c:pt>
                <c:pt idx="981">
                  <c:v>-7.9769563657886335</c:v>
                </c:pt>
                <c:pt idx="982">
                  <c:v>-7.9889976905519182</c:v>
                </c:pt>
                <c:pt idx="983">
                  <c:v>-8.0010390394509088</c:v>
                </c:pt>
                <c:pt idx="984">
                  <c:v>-8.0130804124852251</c:v>
                </c:pt>
                <c:pt idx="985">
                  <c:v>-8.0251218096544861</c:v>
                </c:pt>
                <c:pt idx="986">
                  <c:v>-8.0371632309583134</c:v>
                </c:pt>
                <c:pt idx="987">
                  <c:v>-8.049204676396327</c:v>
                </c:pt>
                <c:pt idx="988">
                  <c:v>-8.0612461459681484</c:v>
                </c:pt>
                <c:pt idx="989">
                  <c:v>-8.0732876396733957</c:v>
                </c:pt>
                <c:pt idx="990">
                  <c:v>-8.0853291575116906</c:v>
                </c:pt>
                <c:pt idx="991">
                  <c:v>-8.0973706994826529</c:v>
                </c:pt>
                <c:pt idx="992">
                  <c:v>-8.1094122655859024</c:v>
                </c:pt>
                <c:pt idx="993">
                  <c:v>-8.1214538558210609</c:v>
                </c:pt>
                <c:pt idx="994">
                  <c:v>-8.1334954701877464</c:v>
                </c:pt>
                <c:pt idx="995">
                  <c:v>-8.1455371086855806</c:v>
                </c:pt>
                <c:pt idx="996">
                  <c:v>-8.1575787713141832</c:v>
                </c:pt>
                <c:pt idx="997">
                  <c:v>-8.1696204580731742</c:v>
                </c:pt>
                <c:pt idx="998">
                  <c:v>-8.1816621689621751</c:v>
                </c:pt>
                <c:pt idx="999">
                  <c:v>-8.1937039039808059</c:v>
                </c:pt>
                <c:pt idx="1000">
                  <c:v>-8.2057456631286865</c:v>
                </c:pt>
              </c:numCache>
            </c:numRef>
          </c:yVal>
          <c:smooth val="1"/>
          <c:extLst>
            <c:ext xmlns:c16="http://schemas.microsoft.com/office/drawing/2014/chart" uri="{C3380CC4-5D6E-409C-BE32-E72D297353CC}">
              <c16:uniqueId val="{00000002-432A-49A9-9499-7ED3E32DDB07}"/>
            </c:ext>
          </c:extLst>
        </c:ser>
        <c:ser>
          <c:idx val="4"/>
          <c:order val="3"/>
          <c:tx>
            <c:strRef>
              <c:f>Trajecto!$B$110</c:f>
              <c:strCache>
                <c:ptCount val="1"/>
                <c:pt idx="0">
                  <c:v>Satellite sous parachute</c:v>
                </c:pt>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Trajecto!$B$141:$B$147</c:f>
              <c:numCache>
                <c:formatCode>0</c:formatCode>
                <c:ptCount val="7"/>
                <c:pt idx="0">
                  <c:v>93.980367732913194</c:v>
                </c:pt>
                <c:pt idx="1">
                  <c:v>93.980367732913194</c:v>
                </c:pt>
                <c:pt idx="2">
                  <c:v>93.980367732913194</c:v>
                </c:pt>
                <c:pt idx="3">
                  <c:v>105.48673475982251</c:v>
                </c:pt>
                <c:pt idx="4">
                  <c:v>93.980367732913194</c:v>
                </c:pt>
                <c:pt idx="5">
                  <c:v>82.474000706003878</c:v>
                </c:pt>
                <c:pt idx="6">
                  <c:v>93.980367732913194</c:v>
                </c:pt>
              </c:numCache>
            </c:numRef>
          </c:xVal>
          <c:yVal>
            <c:numRef>
              <c:f>Trajecto!$C$141:$C$147</c:f>
              <c:numCache>
                <c:formatCode>0</c:formatCode>
                <c:ptCount val="7"/>
                <c:pt idx="0">
                  <c:v>460.25468107637266</c:v>
                </c:pt>
                <c:pt idx="1">
                  <c:v>115.06367026909317</c:v>
                </c:pt>
                <c:pt idx="2">
                  <c:v>0</c:v>
                </c:pt>
                <c:pt idx="3">
                  <c:v>23.012734053818633</c:v>
                </c:pt>
                <c:pt idx="4">
                  <c:v>0</c:v>
                </c:pt>
                <c:pt idx="5">
                  <c:v>23.012734053818633</c:v>
                </c:pt>
                <c:pt idx="6">
                  <c:v>0</c:v>
                </c:pt>
              </c:numCache>
            </c:numRef>
          </c:yVal>
          <c:smooth val="0"/>
          <c:extLst>
            <c:ext xmlns:c16="http://schemas.microsoft.com/office/drawing/2014/chart" uri="{C3380CC4-5D6E-409C-BE32-E72D297353CC}">
              <c16:uniqueId val="{00000004-432A-49A9-9499-7ED3E32DDB07}"/>
            </c:ext>
          </c:extLst>
        </c:ser>
        <c:ser>
          <c:idx val="5"/>
          <c:order val="4"/>
          <c:tx>
            <c:strRef>
              <c:f>Trajecto!$B$107</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0</c:v>
                </c:pt>
                <c:pt idx="1">
                  <c:v>1.5466682646042036E-4</c:v>
                </c:pt>
                <c:pt idx="2">
                  <c:v>1.2827765753580481E-3</c:v>
                </c:pt>
                <c:pt idx="3">
                  <c:v>4.4531509330487957E-3</c:v>
                </c:pt>
                <c:pt idx="4">
                  <c:v>1.0028219662065109E-2</c:v>
                </c:pt>
                <c:pt idx="5">
                  <c:v>1.7923312814990607E-2</c:v>
                </c:pt>
                <c:pt idx="6">
                  <c:v>2.8079428219716103E-2</c:v>
                </c:pt>
                <c:pt idx="7">
                  <c:v>4.0489179643795947E-2</c:v>
                </c:pt>
                <c:pt idx="8">
                  <c:v>5.517102913582754E-2</c:v>
                </c:pt>
                <c:pt idx="9">
                  <c:v>7.2143448070533217E-2</c:v>
                </c:pt>
                <c:pt idx="10">
                  <c:v>9.1424916775907347E-2</c:v>
                </c:pt>
                <c:pt idx="11">
                  <c:v>0.11303123865041255</c:v>
                </c:pt>
                <c:pt idx="12">
                  <c:v>0.13697284691545319</c:v>
                </c:pt>
                <c:pt idx="13">
                  <c:v>0.1632574788862903</c:v>
                </c:pt>
                <c:pt idx="14">
                  <c:v>0.19189285766067149</c:v>
                </c:pt>
                <c:pt idx="15">
                  <c:v>0.22288669184838061</c:v>
                </c:pt>
                <c:pt idx="16">
                  <c:v>0.25624667529992717</c:v>
                </c:pt>
                <c:pt idx="17">
                  <c:v>0.2919804868343952</c:v>
                </c:pt>
                <c:pt idx="18">
                  <c:v>0.33009578996647226</c:v>
                </c:pt>
                <c:pt idx="19">
                  <c:v>0.37060023263267883</c:v>
                </c:pt>
                <c:pt idx="20">
                  <c:v>0.41350144691681856</c:v>
                </c:pt>
                <c:pt idx="21">
                  <c:v>0.45880597072539658</c:v>
                </c:pt>
                <c:pt idx="22">
                  <c:v>0.50651816656771187</c:v>
                </c:pt>
                <c:pt idx="23">
                  <c:v>0.55664129515600402</c:v>
                </c:pt>
                <c:pt idx="24">
                  <c:v>0.60917859195685786</c:v>
                </c:pt>
                <c:pt idx="25">
                  <c:v>0.66413326702857223</c:v>
                </c:pt>
                <c:pt idx="26">
                  <c:v>0.7215085048594142</c:v>
                </c:pt>
                <c:pt idx="27">
                  <c:v>0.78139140642099358</c:v>
                </c:pt>
                <c:pt idx="28">
                  <c:v>0.84387255236072967</c:v>
                </c:pt>
                <c:pt idx="29">
                  <c:v>0.90896200491883627</c:v>
                </c:pt>
                <c:pt idx="30">
                  <c:v>0.97666963368661031</c:v>
                </c:pt>
                <c:pt idx="31">
                  <c:v>1.0470050679452119</c:v>
                </c:pt>
                <c:pt idx="32">
                  <c:v>1.119977710791314</c:v>
                </c:pt>
                <c:pt idx="33">
                  <c:v>1.1955967518550412</c:v>
                </c:pt>
                <c:pt idx="34">
                  <c:v>1.2738711787892512</c:v>
                </c:pt>
                <c:pt idx="35">
                  <c:v>1.3548097876816083</c:v>
                </c:pt>
                <c:pt idx="36">
                  <c:v>1.4384211925182515</c:v>
                </c:pt>
                <c:pt idx="37">
                  <c:v>1.524713833809163</c:v>
                </c:pt>
                <c:pt idx="38">
                  <c:v>1.6136959864698202</c:v>
                </c:pt>
                <c:pt idx="39">
                  <c:v>1.7053757670407457</c:v>
                </c:pt>
                <c:pt idx="40">
                  <c:v>1.7997611403156846</c:v>
                </c:pt>
                <c:pt idx="41">
                  <c:v>1.8968590590117396</c:v>
                </c:pt>
                <c:pt idx="42">
                  <c:v>1.9966745962693704</c:v>
                </c:pt>
                <c:pt idx="43">
                  <c:v>2.0992118084816891</c:v>
                </c:pt>
                <c:pt idx="44">
                  <c:v>2.2044746047471295</c:v>
                </c:pt>
                <c:pt idx="45">
                  <c:v>2.3124667519378357</c:v>
                </c:pt>
                <c:pt idx="46">
                  <c:v>2.4231918794114309</c:v>
                </c:pt>
                <c:pt idx="47">
                  <c:v>2.5366534833990433</c:v>
                </c:pt>
                <c:pt idx="48">
                  <c:v>2.6528549310987781</c:v>
                </c:pt>
                <c:pt idx="49">
                  <c:v>2.7717994645006239</c:v>
                </c:pt>
                <c:pt idx="50">
                  <c:v>2.8934902039660022</c:v>
                </c:pt>
                <c:pt idx="51">
                  <c:v>3.0179301515827279</c:v>
                </c:pt>
                <c:pt idx="52">
                  <c:v>3.1451221943140175</c:v>
                </c:pt>
                <c:pt idx="53">
                  <c:v>3.2750691069583064</c:v>
                </c:pt>
                <c:pt idx="54">
                  <c:v>3.4077735549349826</c:v>
                </c:pt>
                <c:pt idx="55">
                  <c:v>3.5432380969096831</c:v>
                </c:pt>
                <c:pt idx="56">
                  <c:v>3.681465187271503</c:v>
                </c:pt>
                <c:pt idx="57">
                  <c:v>3.8224571784733232</c:v>
                </c:pt>
                <c:pt idx="58">
                  <c:v>3.9662163232454315</c:v>
                </c:pt>
                <c:pt idx="59">
                  <c:v>4.112744776691704</c:v>
                </c:pt>
                <c:pt idx="60">
                  <c:v>4.2620445982767983</c:v>
                </c:pt>
                <c:pt idx="61">
                  <c:v>4.4141177537120688</c:v>
                </c:pt>
                <c:pt idx="62">
                  <c:v>4.5689661167472773</c:v>
                </c:pt>
                <c:pt idx="63">
                  <c:v>4.7265914708745562</c:v>
                </c:pt>
                <c:pt idx="64">
                  <c:v>4.8869955109505678</c:v>
                </c:pt>
                <c:pt idx="65">
                  <c:v>5.0501798447423214</c:v>
                </c:pt>
                <c:pt idx="66">
                  <c:v>5.2161459944016579</c:v>
                </c:pt>
                <c:pt idx="67">
                  <c:v>5.3848953978730485</c:v>
                </c:pt>
                <c:pt idx="68">
                  <c:v>5.5564294102389598</c:v>
                </c:pt>
                <c:pt idx="69">
                  <c:v>5.7307493050067473</c:v>
                </c:pt>
                <c:pt idx="70">
                  <c:v>5.9078562753407189</c:v>
                </c:pt>
                <c:pt idx="71">
                  <c:v>6.0877514352427573</c:v>
                </c:pt>
                <c:pt idx="72">
                  <c:v>6.2704358206846313</c:v>
                </c:pt>
                <c:pt idx="73">
                  <c:v>6.4559103906949096</c:v>
                </c:pt>
                <c:pt idx="74">
                  <c:v>6.6441760284031837</c:v>
                </c:pt>
                <c:pt idx="75">
                  <c:v>6.8352335420441133</c:v>
                </c:pt>
                <c:pt idx="76">
                  <c:v>7.0290836659236424</c:v>
                </c:pt>
                <c:pt idx="77">
                  <c:v>7.2257270613495672</c:v>
                </c:pt>
                <c:pt idx="78">
                  <c:v>7.4251643175284947</c:v>
                </c:pt>
                <c:pt idx="79">
                  <c:v>7.6273959524310975</c:v>
                </c:pt>
                <c:pt idx="80">
                  <c:v>7.832422413627441</c:v>
                </c:pt>
                <c:pt idx="81">
                  <c:v>8.0402431523805014</c:v>
                </c:pt>
                <c:pt idx="82">
                  <c:v>8.2508556935153177</c:v>
                </c:pt>
                <c:pt idx="83">
                  <c:v>8.4642565576086248</c:v>
                </c:pt>
                <c:pt idx="84">
                  <c:v>8.6804421875010895</c:v>
                </c:pt>
                <c:pt idx="85">
                  <c:v>8.899408949300847</c:v>
                </c:pt>
                <c:pt idx="86">
                  <c:v>9.1211531333604228</c:v>
                </c:pt>
                <c:pt idx="87">
                  <c:v>9.34567095522846</c:v>
                </c:pt>
                <c:pt idx="88">
                  <c:v>9.5729585565776087</c:v>
                </c:pt>
                <c:pt idx="89">
                  <c:v>9.8030120061098298</c:v>
                </c:pt>
                <c:pt idx="90">
                  <c:v>10.035827300440305</c:v>
                </c:pt>
                <c:pt idx="91">
                  <c:v>10.271399951776486</c:v>
                </c:pt>
                <c:pt idx="92">
                  <c:v>10.509724573900202</c:v>
                </c:pt>
                <c:pt idx="93">
                  <c:v>10.750795294122707</c:v>
                </c:pt>
                <c:pt idx="94">
                  <c:v>10.994606166963036</c:v>
                </c:pt>
                <c:pt idx="95">
                  <c:v>11.241151175065296</c:v>
                </c:pt>
                <c:pt idx="96">
                  <c:v>11.490424230098485</c:v>
                </c:pt>
                <c:pt idx="97">
                  <c:v>11.742419173639718</c:v>
                </c:pt>
                <c:pt idx="98">
                  <c:v>11.997129778041645</c:v>
                </c:pt>
                <c:pt idx="99">
                  <c:v>12.254549747284823</c:v>
                </c:pt>
                <c:pt idx="100">
                  <c:v>12.514672717815754</c:v>
                </c:pt>
                <c:pt idx="101">
                  <c:v>12.777492192737732</c:v>
                </c:pt>
                <c:pt idx="102">
                  <c:v>13.04300147574609</c:v>
                </c:pt>
                <c:pt idx="103">
                  <c:v>13.311193738272905</c:v>
                </c:pt>
                <c:pt idx="104">
                  <c:v>13.58206208687192</c:v>
                </c:pt>
                <c:pt idx="105">
                  <c:v>13.85559956401316</c:v>
                </c:pt>
                <c:pt idx="106">
                  <c:v>14.131799148866474</c:v>
                </c:pt>
                <c:pt idx="107">
                  <c:v>14.410653758074503</c:v>
                </c:pt>
                <c:pt idx="108">
                  <c:v>14.692156246515493</c:v>
                </c:pt>
                <c:pt idx="109">
                  <c:v>14.976299408056425</c:v>
                </c:pt>
                <c:pt idx="110">
                  <c:v>15.263075976296829</c:v>
                </c:pt>
                <c:pt idx="111">
                  <c:v>15.552479398285012</c:v>
                </c:pt>
                <c:pt idx="112">
                  <c:v>15.844504610752535</c:v>
                </c:pt>
                <c:pt idx="113">
                  <c:v>16.139147270734522</c:v>
                </c:pt>
                <c:pt idx="114">
                  <c:v>16.436402983555578</c:v>
                </c:pt>
                <c:pt idx="115">
                  <c:v>16.736267303334071</c:v>
                </c:pt>
                <c:pt idx="116">
                  <c:v>17.038735733481161</c:v>
                </c:pt>
                <c:pt idx="117">
                  <c:v>17.343803727194747</c:v>
                </c:pt>
                <c:pt idx="118">
                  <c:v>17.651466687948577</c:v>
                </c:pt>
                <c:pt idx="119">
                  <c:v>17.961719969976727</c:v>
                </c:pt>
                <c:pt idx="120">
                  <c:v>18.274558878753584</c:v>
                </c:pt>
                <c:pt idx="121">
                  <c:v>18.589977380436025</c:v>
                </c:pt>
                <c:pt idx="122">
                  <c:v>18.907966807484847</c:v>
                </c:pt>
                <c:pt idx="123">
                  <c:v>19.228517146010393</c:v>
                </c:pt>
                <c:pt idx="124">
                  <c:v>19.551618327092751</c:v>
                </c:pt>
                <c:pt idx="125">
                  <c:v>19.877260227563809</c:v>
                </c:pt>
                <c:pt idx="126">
                  <c:v>20.205432670782745</c:v>
                </c:pt>
                <c:pt idx="127">
                  <c:v>20.536125427405086</c:v>
                </c:pt>
                <c:pt idx="128">
                  <c:v>20.869328216145565</c:v>
                </c:pt>
                <c:pt idx="129">
                  <c:v>21.205030704534902</c:v>
                </c:pt>
                <c:pt idx="130">
                  <c:v>21.543222509670677</c:v>
                </c:pt>
                <c:pt idx="131">
                  <c:v>21.883892858766007</c:v>
                </c:pt>
                <c:pt idx="132">
                  <c:v>22.227030248803541</c:v>
                </c:pt>
                <c:pt idx="133">
                  <c:v>22.572622786562697</c:v>
                </c:pt>
                <c:pt idx="134">
                  <c:v>22.920658529573885</c:v>
                </c:pt>
                <c:pt idx="135">
                  <c:v>23.271125486927964</c:v>
                </c:pt>
                <c:pt idx="136">
                  <c:v>23.624011620079681</c:v>
                </c:pt>
                <c:pt idx="137">
                  <c:v>23.979304843645178</c:v>
                </c:pt>
                <c:pt idx="138">
                  <c:v>24.336993026193664</c:v>
                </c:pt>
                <c:pt idx="139">
                  <c:v>24.697063991033367</c:v>
                </c:pt>
                <c:pt idx="140">
                  <c:v>25.05950551699183</c:v>
                </c:pt>
                <c:pt idx="141">
                  <c:v>25.424301246724202</c:v>
                </c:pt>
                <c:pt idx="142">
                  <c:v>25.791426585732204</c:v>
                </c:pt>
                <c:pt idx="143">
                  <c:v>26.160852787100943</c:v>
                </c:pt>
                <c:pt idx="144">
                  <c:v>26.532551046109923</c:v>
                </c:pt>
                <c:pt idx="145">
                  <c:v>26.906492502169936</c:v>
                </c:pt>
                <c:pt idx="146">
                  <c:v>27.282648240739224</c:v>
                </c:pt>
                <c:pt idx="147">
                  <c:v>27.660989295218975</c:v>
                </c:pt>
                <c:pt idx="148">
                  <c:v>28.041486648828272</c:v>
                </c:pt>
                <c:pt idx="149">
                  <c:v>28.424111236458547</c:v>
                </c:pt>
                <c:pt idx="150">
                  <c:v>28.80883394650764</c:v>
                </c:pt>
                <c:pt idx="151">
                  <c:v>29.195625622693495</c:v>
                </c:pt>
                <c:pt idx="152">
                  <c:v>29.584457065847566</c:v>
                </c:pt>
                <c:pt idx="153">
                  <c:v>29.975299035687971</c:v>
                </c:pt>
                <c:pt idx="154">
                  <c:v>30.368122252572444</c:v>
                </c:pt>
                <c:pt idx="155">
                  <c:v>30.762897399231115</c:v>
                </c:pt>
                <c:pt idx="156">
                  <c:v>31.15957557692801</c:v>
                </c:pt>
                <c:pt idx="157">
                  <c:v>31.558068732611392</c:v>
                </c:pt>
                <c:pt idx="158">
                  <c:v>31.958269191569755</c:v>
                </c:pt>
                <c:pt idx="159">
                  <c:v>32.360069224180066</c:v>
                </c:pt>
                <c:pt idx="160">
                  <c:v>32.763361057674068</c:v>
                </c:pt>
                <c:pt idx="161">
                  <c:v>33.168011973610334</c:v>
                </c:pt>
                <c:pt idx="162">
                  <c:v>33.573839387799282</c:v>
                </c:pt>
                <c:pt idx="163">
                  <c:v>33.980638168332426</c:v>
                </c:pt>
                <c:pt idx="164">
                  <c:v>34.388207983381392</c:v>
                </c:pt>
                <c:pt idx="165">
                  <c:v>34.796374801387309</c:v>
                </c:pt>
                <c:pt idx="166">
                  <c:v>35.205012385849166</c:v>
                </c:pt>
                <c:pt idx="167">
                  <c:v>35.614000288973365</c:v>
                </c:pt>
                <c:pt idx="168">
                  <c:v>36.023194977837335</c:v>
                </c:pt>
                <c:pt idx="169">
                  <c:v>36.432410499023142</c:v>
                </c:pt>
                <c:pt idx="170">
                  <c:v>36.841412331116544</c:v>
                </c:pt>
                <c:pt idx="171">
                  <c:v>37.250036299377363</c:v>
                </c:pt>
                <c:pt idx="172">
                  <c:v>37.65824161807847</c:v>
                </c:pt>
                <c:pt idx="173">
                  <c:v>38.066029424153669</c:v>
                </c:pt>
                <c:pt idx="174">
                  <c:v>38.473400850163571</c:v>
                </c:pt>
                <c:pt idx="175">
                  <c:v>38.880357024318521</c:v>
                </c:pt>
                <c:pt idx="176">
                  <c:v>39.286899070501356</c:v>
                </c:pt>
                <c:pt idx="177">
                  <c:v>39.693028108290036</c:v>
                </c:pt>
                <c:pt idx="178">
                  <c:v>40.098745252980123</c:v>
                </c:pt>
                <c:pt idx="179">
                  <c:v>40.504051615607096</c:v>
                </c:pt>
                <c:pt idx="180">
                  <c:v>40.90894830296854</c:v>
                </c:pt>
                <c:pt idx="181">
                  <c:v>41.31343641764618</c:v>
                </c:pt>
                <c:pt idx="182">
                  <c:v>41.717517058027774</c:v>
                </c:pt>
                <c:pt idx="183">
                  <c:v>42.121191318328869</c:v>
                </c:pt>
                <c:pt idx="184">
                  <c:v>42.524460288614392</c:v>
                </c:pt>
                <c:pt idx="185">
                  <c:v>42.927325054820145</c:v>
                </c:pt>
                <c:pt idx="186">
                  <c:v>43.329786698774122</c:v>
                </c:pt>
                <c:pt idx="187">
                  <c:v>43.73184629821769</c:v>
                </c:pt>
                <c:pt idx="188">
                  <c:v>44.133504926826667</c:v>
                </c:pt>
                <c:pt idx="189">
                  <c:v>44.534763654232222</c:v>
                </c:pt>
                <c:pt idx="190">
                  <c:v>44.935623546041661</c:v>
                </c:pt>
                <c:pt idx="191">
                  <c:v>45.336085663859087</c:v>
                </c:pt>
                <c:pt idx="192">
                  <c:v>45.736151065305918</c:v>
                </c:pt>
                <c:pt idx="193">
                  <c:v>46.135820804041252</c:v>
                </c:pt>
                <c:pt idx="194">
                  <c:v>46.535095929782145</c:v>
                </c:pt>
                <c:pt idx="195">
                  <c:v>46.933977488323727</c:v>
                </c:pt>
                <c:pt idx="196">
                  <c:v>47.332466521559198</c:v>
                </c:pt>
                <c:pt idx="197">
                  <c:v>47.730564067499699</c:v>
                </c:pt>
                <c:pt idx="198">
                  <c:v>48.128271160294055</c:v>
                </c:pt>
                <c:pt idx="199">
                  <c:v>48.525588830248381</c:v>
                </c:pt>
                <c:pt idx="200">
                  <c:v>48.922518103845583</c:v>
                </c:pt>
                <c:pt idx="201">
                  <c:v>52.870528255118991</c:v>
                </c:pt>
                <c:pt idx="202">
                  <c:v>56.780357001974451</c:v>
                </c:pt>
                <c:pt idx="203">
                  <c:v>60.652995839763321</c:v>
                </c:pt>
                <c:pt idx="204">
                  <c:v>64.489400460335077</c:v>
                </c:pt>
                <c:pt idx="205">
                  <c:v>68.290492502825103</c:v>
                </c:pt>
                <c:pt idx="206">
                  <c:v>72.057161198226339</c:v>
                </c:pt>
                <c:pt idx="207">
                  <c:v>75.790264915430214</c:v>
                </c:pt>
                <c:pt idx="208">
                  <c:v>79.490632615778807</c:v>
                </c:pt>
                <c:pt idx="209">
                  <c:v>83.159065222587358</c:v>
                </c:pt>
                <c:pt idx="210">
                  <c:v>86.79633691156809</c:v>
                </c:pt>
                <c:pt idx="211">
                  <c:v>90.403196327607446</c:v>
                </c:pt>
                <c:pt idx="212">
                  <c:v>93.980367732913194</c:v>
                </c:pt>
                <c:pt idx="213">
                  <c:v>97.528552091152335</c:v>
                </c:pt>
                <c:pt idx="214">
                  <c:v>101.04842809183992</c:v>
                </c:pt>
                <c:pt idx="215">
                  <c:v>104.54065311891063</c:v>
                </c:pt>
                <c:pt idx="216">
                  <c:v>108.00586416710466</c:v>
                </c:pt>
                <c:pt idx="217">
                  <c:v>111.44467870952609</c:v>
                </c:pt>
                <c:pt idx="218">
                  <c:v>114.85769551948071</c:v>
                </c:pt>
                <c:pt idx="219">
                  <c:v>118.24549544947166</c:v>
                </c:pt>
                <c:pt idx="220">
                  <c:v>121.60864217002043</c:v>
                </c:pt>
                <c:pt idx="221">
                  <c:v>124.94768287078858</c:v>
                </c:pt>
                <c:pt idx="222">
                  <c:v>128.26314892629827</c:v>
                </c:pt>
                <c:pt idx="223">
                  <c:v>131.55555652838711</c:v>
                </c:pt>
                <c:pt idx="224">
                  <c:v>134.82540728738337</c:v>
                </c:pt>
                <c:pt idx="225">
                  <c:v>138.07318880384986</c:v>
                </c:pt>
                <c:pt idx="226">
                  <c:v>141.29937521261792</c:v>
                </c:pt>
                <c:pt idx="227">
                  <c:v>144.50442770071584</c:v>
                </c:pt>
                <c:pt idx="228">
                  <c:v>147.68879500068826</c:v>
                </c:pt>
                <c:pt idx="229">
                  <c:v>150.85291386070318</c:v>
                </c:pt>
                <c:pt idx="230">
                  <c:v>153.99720949275104</c:v>
                </c:pt>
                <c:pt idx="231">
                  <c:v>157.12209600015493</c:v>
                </c:pt>
                <c:pt idx="232">
                  <c:v>160.22797678553221</c:v>
                </c:pt>
                <c:pt idx="233">
                  <c:v>163.31524494027425</c:v>
                </c:pt>
                <c:pt idx="234">
                  <c:v>166.38428361654334</c:v>
                </c:pt>
                <c:pt idx="235">
                  <c:v>169.43546638272286</c:v>
                </c:pt>
                <c:pt idx="236">
                  <c:v>172.469157563198</c:v>
                </c:pt>
                <c:pt idx="237">
                  <c:v>175.48571256329006</c:v>
                </c:pt>
                <c:pt idx="238">
                  <c:v>178.4854781801171</c:v>
                </c:pt>
                <c:pt idx="239">
                  <c:v>181.4687929001058</c:v>
                </c:pt>
                <c:pt idx="240">
                  <c:v>184.43598718383649</c:v>
                </c:pt>
                <c:pt idx="241">
                  <c:v>187.38738373886162</c:v>
                </c:pt>
                <c:pt idx="242">
                  <c:v>190.32329778110037</c:v>
                </c:pt>
                <c:pt idx="243">
                  <c:v>193.24403728537609</c:v>
                </c:pt>
                <c:pt idx="244">
                  <c:v>196.1499032256304</c:v>
                </c:pt>
                <c:pt idx="245">
                  <c:v>199.04118980531626</c:v>
                </c:pt>
                <c:pt idx="246">
                  <c:v>201.91818467844374</c:v>
                </c:pt>
                <c:pt idx="247">
                  <c:v>204.78116916172453</c:v>
                </c:pt>
                <c:pt idx="248">
                  <c:v>207.63041843823618</c:v>
                </c:pt>
                <c:pt idx="249">
                  <c:v>210.46620175300271</c:v>
                </c:pt>
                <c:pt idx="250">
                  <c:v>213.28878260086654</c:v>
                </c:pt>
                <c:pt idx="251">
                  <c:v>216.09841890700457</c:v>
                </c:pt>
                <c:pt idx="252">
                  <c:v>218.89536320042262</c:v>
                </c:pt>
                <c:pt idx="253">
                  <c:v>221.67986278074312</c:v>
                </c:pt>
                <c:pt idx="254">
                  <c:v>224.45215987858361</c:v>
                </c:pt>
                <c:pt idx="255">
                  <c:v>227.21249180980737</c:v>
                </c:pt>
                <c:pt idx="256">
                  <c:v>229.96109112391161</c:v>
                </c:pt>
                <c:pt idx="257">
                  <c:v>232.69818574680446</c:v>
                </c:pt>
                <c:pt idx="258">
                  <c:v>235.42399911820752</c:v>
                </c:pt>
                <c:pt idx="259">
                  <c:v>238.1387503239084</c:v>
                </c:pt>
                <c:pt idx="260">
                  <c:v>240.84265422307465</c:v>
                </c:pt>
                <c:pt idx="261">
                  <c:v>243.5359215708292</c:v>
                </c:pt>
                <c:pt idx="262">
                  <c:v>246.21875913627591</c:v>
                </c:pt>
                <c:pt idx="263">
                  <c:v>248.89136981615346</c:v>
                </c:pt>
                <c:pt idx="264">
                  <c:v>251.55395274428588</c:v>
                </c:pt>
                <c:pt idx="265">
                  <c:v>254.20670339698805</c:v>
                </c:pt>
                <c:pt idx="266">
                  <c:v>256.8498136945754</c:v>
                </c:pt>
                <c:pt idx="267">
                  <c:v>259.48347209911867</c:v>
                </c:pt>
                <c:pt idx="268">
                  <c:v>262.10786370857539</c:v>
                </c:pt>
                <c:pt idx="269">
                  <c:v>264.72317034742252</c:v>
                </c:pt>
                <c:pt idx="270">
                  <c:v>267.32957065390627</c:v>
                </c:pt>
                <c:pt idx="271">
                  <c:v>269.92724016401752</c:v>
                </c:pt>
                <c:pt idx="272">
                  <c:v>272.5163513922945</c:v>
                </c:pt>
                <c:pt idx="273">
                  <c:v>275.09707390954679</c:v>
                </c:pt>
                <c:pt idx="274">
                  <c:v>277.66957441758791</c:v>
                </c:pt>
                <c:pt idx="275">
                  <c:v>280.23401682105691</c:v>
                </c:pt>
                <c:pt idx="276">
                  <c:v>282.79056229640287</c:v>
                </c:pt>
                <c:pt idx="277">
                  <c:v>285.33936935809908</c:v>
                </c:pt>
                <c:pt idx="278">
                  <c:v>287.88059392214825</c:v>
                </c:pt>
                <c:pt idx="279">
                  <c:v>290.41438936693203</c:v>
                </c:pt>
                <c:pt idx="280">
                  <c:v>292.94090659145286</c:v>
                </c:pt>
                <c:pt idx="281">
                  <c:v>295.46029407100906</c:v>
                </c:pt>
                <c:pt idx="282">
                  <c:v>297.97269791033739</c:v>
                </c:pt>
                <c:pt idx="283">
                  <c:v>300.47826189425103</c:v>
                </c:pt>
                <c:pt idx="284">
                  <c:v>302.97712753579327</c:v>
                </c:pt>
                <c:pt idx="285">
                  <c:v>305.46943412192121</c:v>
                </c:pt>
                <c:pt idx="286">
                  <c:v>307.95531875672532</c:v>
                </c:pt>
                <c:pt idx="287">
                  <c:v>310.43491640218474</c:v>
                </c:pt>
                <c:pt idx="288">
                  <c:v>312.90835991644866</c:v>
                </c:pt>
                <c:pt idx="289">
                  <c:v>315.37578008962794</c:v>
                </c:pt>
                <c:pt idx="290">
                  <c:v>317.83730567707096</c:v>
                </c:pt>
                <c:pt idx="291">
                  <c:v>320.29306343009023</c:v>
                </c:pt>
                <c:pt idx="292">
                  <c:v>322.74317812409652</c:v>
                </c:pt>
                <c:pt idx="293">
                  <c:v>325.18777258408687</c:v>
                </c:pt>
                <c:pt idx="294">
                  <c:v>327.6269677074244</c:v>
                </c:pt>
                <c:pt idx="295">
                  <c:v>330.06088248383475</c:v>
                </c:pt>
                <c:pt idx="296">
                  <c:v>332.48963401253462</c:v>
                </c:pt>
                <c:pt idx="297">
                  <c:v>334.91333751639507</c:v>
                </c:pt>
                <c:pt idx="298">
                  <c:v>337.33210635302959</c:v>
                </c:pt>
                <c:pt idx="299">
                  <c:v>339.74605202268435</c:v>
                </c:pt>
                <c:pt idx="300">
                  <c:v>342.1552841727941</c:v>
                </c:pt>
                <c:pt idx="301">
                  <c:v>344.55991059905296</c:v>
                </c:pt>
                <c:pt idx="302">
                  <c:v>346.96003724283537</c:v>
                </c:pt>
                <c:pt idx="303">
                  <c:v>349.35576818478688</c:v>
                </c:pt>
                <c:pt idx="304">
                  <c:v>351.74720563439007</c:v>
                </c:pt>
                <c:pt idx="305">
                  <c:v>354.13444991529639</c:v>
                </c:pt>
                <c:pt idx="306">
                  <c:v>356.51759944619988</c:v>
                </c:pt>
                <c:pt idx="307">
                  <c:v>358.89675071701669</c:v>
                </c:pt>
                <c:pt idx="308">
                  <c:v>361.27199826012156</c:v>
                </c:pt>
                <c:pt idx="309">
                  <c:v>363.64343461638458</c:v>
                </c:pt>
                <c:pt idx="310">
                  <c:v>366.01115029574453</c:v>
                </c:pt>
                <c:pt idx="311">
                  <c:v>368.37523373205465</c:v>
                </c:pt>
                <c:pt idx="312">
                  <c:v>370.73577123194065</c:v>
                </c:pt>
                <c:pt idx="313">
                  <c:v>373.09284691742266</c:v>
                </c:pt>
                <c:pt idx="314">
                  <c:v>375.44654266207425</c:v>
                </c:pt>
                <c:pt idx="315">
                  <c:v>377.79693802052509</c:v>
                </c:pt>
                <c:pt idx="316">
                  <c:v>380.14411015116002</c:v>
                </c:pt>
                <c:pt idx="317">
                  <c:v>382.48813373193258</c:v>
                </c:pt>
                <c:pt idx="318">
                  <c:v>384.82908086929353</c:v>
                </c:pt>
                <c:pt idx="319">
                  <c:v>387.1670210003428</c:v>
                </c:pt>
                <c:pt idx="320">
                  <c:v>389.50202078844274</c:v>
                </c:pt>
                <c:pt idx="321">
                  <c:v>391.83414401269113</c:v>
                </c:pt>
                <c:pt idx="322">
                  <c:v>394.16345145183834</c:v>
                </c:pt>
                <c:pt idx="323">
                  <c:v>396.49000076344709</c:v>
                </c:pt>
                <c:pt idx="324">
                  <c:v>398.81384635933483</c:v>
                </c:pt>
                <c:pt idx="325">
                  <c:v>401.13503927859875</c:v>
                </c:pt>
                <c:pt idx="326">
                  <c:v>403.45362705979647</c:v>
                </c:pt>
                <c:pt idx="327">
                  <c:v>405.76965361413102</c:v>
                </c:pt>
                <c:pt idx="328">
                  <c:v>408.08315910174838</c:v>
                </c:pt>
                <c:pt idx="329">
                  <c:v>410.39417981348521</c:v>
                </c:pt>
                <c:pt idx="330">
                  <c:v>412.70274806058006</c:v>
                </c:pt>
                <c:pt idx="331">
                  <c:v>415.00889207496419</c:v>
                </c:pt>
                <c:pt idx="332">
                  <c:v>417.31263592275707</c:v>
                </c:pt>
                <c:pt idx="333">
                  <c:v>419.61399943349039</c:v>
                </c:pt>
                <c:pt idx="334">
                  <c:v>421.9129981473655</c:v>
                </c:pt>
                <c:pt idx="335">
                  <c:v>424.20964328250903</c:v>
                </c:pt>
                <c:pt idx="336">
                  <c:v>426.50394172374166</c:v>
                </c:pt>
                <c:pt idx="337">
                  <c:v>428.79589603383602</c:v>
                </c:pt>
                <c:pt idx="338">
                  <c:v>431.08550448763862</c:v>
                </c:pt>
                <c:pt idx="339">
                  <c:v>433.37276112880625</c:v>
                </c:pt>
                <c:pt idx="340">
                  <c:v>435.65765584829677</c:v>
                </c:pt>
                <c:pt idx="341">
                  <c:v>437.94017448319499</c:v>
                </c:pt>
                <c:pt idx="342">
                  <c:v>440.22029893397848</c:v>
                </c:pt>
                <c:pt idx="343">
                  <c:v>442.49800729795987</c:v>
                </c:pt>
                <c:pt idx="344">
                  <c:v>444.77327401639207</c:v>
                </c:pt>
                <c:pt idx="345">
                  <c:v>447.04607003259457</c:v>
                </c:pt>
                <c:pt idx="346">
                  <c:v>449.31636295844669</c:v>
                </c:pt>
                <c:pt idx="347">
                  <c:v>451.58411724667798</c:v>
                </c:pt>
                <c:pt idx="348">
                  <c:v>453.84929436655403</c:v>
                </c:pt>
                <c:pt idx="349">
                  <c:v>456.11185298077987</c:v>
                </c:pt>
                <c:pt idx="350">
                  <c:v>458.3717491217065</c:v>
                </c:pt>
                <c:pt idx="351">
                  <c:v>460.62893636520658</c:v>
                </c:pt>
                <c:pt idx="352">
                  <c:v>462.88336600086808</c:v>
                </c:pt>
                <c:pt idx="353">
                  <c:v>465.13498719742654</c:v>
                </c:pt>
                <c:pt idx="354">
                  <c:v>467.3837471626087</c:v>
                </c:pt>
                <c:pt idx="355">
                  <c:v>469.62959129678649</c:v>
                </c:pt>
                <c:pt idx="356">
                  <c:v>471.87246334003834</c:v>
                </c:pt>
                <c:pt idx="357">
                  <c:v>474.11230551238333</c:v>
                </c:pt>
                <c:pt idx="358">
                  <c:v>476.34905864709339</c:v>
                </c:pt>
                <c:pt idx="359">
                  <c:v>478.58266231710252</c:v>
                </c:pt>
                <c:pt idx="360">
                  <c:v>480.81305495462118</c:v>
                </c:pt>
                <c:pt idx="361">
                  <c:v>483.0401739641328</c:v>
                </c:pt>
                <c:pt idx="362">
                  <c:v>485.26395582900034</c:v>
                </c:pt>
                <c:pt idx="363">
                  <c:v>487.48433621194545</c:v>
                </c:pt>
                <c:pt idx="364">
                  <c:v>489.70125004968651</c:v>
                </c:pt>
                <c:pt idx="365">
                  <c:v>491.91463164203498</c:v>
                </c:pt>
                <c:pt idx="366">
                  <c:v>494.12441473575404</c:v>
                </c:pt>
                <c:pt idx="367">
                  <c:v>496.33053260348311</c:v>
                </c:pt>
                <c:pt idx="368">
                  <c:v>498.53291811802575</c:v>
                </c:pt>
                <c:pt idx="369">
                  <c:v>500.73150382228965</c:v>
                </c:pt>
                <c:pt idx="370">
                  <c:v>502.92622199515517</c:v>
                </c:pt>
                <c:pt idx="371">
                  <c:v>505.11700471353703</c:v>
                </c:pt>
                <c:pt idx="372">
                  <c:v>507.30378391088817</c:v>
                </c:pt>
                <c:pt idx="373">
                  <c:v>509.48649143238146</c:v>
                </c:pt>
                <c:pt idx="374">
                  <c:v>511.6650590869894</c:v>
                </c:pt>
                <c:pt idx="375">
                  <c:v>513.83941869666774</c:v>
                </c:pt>
                <c:pt idx="376">
                  <c:v>516.00950214283523</c:v>
                </c:pt>
                <c:pt idx="377">
                  <c:v>518.1752414103272</c:v>
                </c:pt>
                <c:pt idx="378">
                  <c:v>520.33656862898852</c:v>
                </c:pt>
                <c:pt idx="379">
                  <c:v>522.4934161130592</c:v>
                </c:pt>
                <c:pt idx="380">
                  <c:v>524.64571639849373</c:v>
                </c:pt>
                <c:pt idx="381">
                  <c:v>526.7934022783453</c:v>
                </c:pt>
                <c:pt idx="382">
                  <c:v>528.93640683633521</c:v>
                </c:pt>
                <c:pt idx="383">
                  <c:v>531.07466347871923</c:v>
                </c:pt>
                <c:pt idx="384">
                  <c:v>533.20810596455283</c:v>
                </c:pt>
                <c:pt idx="385">
                  <c:v>535.33666843445098</c:v>
                </c:pt>
                <c:pt idx="386">
                  <c:v>537.46028543792897</c:v>
                </c:pt>
                <c:pt idx="387">
                  <c:v>539.57889195940515</c:v>
                </c:pt>
                <c:pt idx="388">
                  <c:v>541.69242344293912</c:v>
                </c:pt>
                <c:pt idx="389">
                  <c:v>543.80081581577497</c:v>
                </c:pt>
                <c:pt idx="390">
                  <c:v>545.90400551075186</c:v>
                </c:pt>
                <c:pt idx="391">
                  <c:v>548.00192948764038</c:v>
                </c:pt>
                <c:pt idx="392">
                  <c:v>550.09452525345876</c:v>
                </c:pt>
                <c:pt idx="393">
                  <c:v>552.18173088181868</c:v>
                </c:pt>
                <c:pt idx="394">
                  <c:v>554.26348503134693</c:v>
                </c:pt>
                <c:pt idx="395">
                  <c:v>556.33972696322519</c:v>
                </c:pt>
                <c:pt idx="396">
                  <c:v>558.41039655788757</c:v>
                </c:pt>
                <c:pt idx="397">
                  <c:v>560.47543433091334</c:v>
                </c:pt>
                <c:pt idx="398">
                  <c:v>562.53478144814744</c:v>
                </c:pt>
                <c:pt idx="399">
                  <c:v>564.58837974008213</c:v>
                </c:pt>
                <c:pt idx="400">
                  <c:v>566.63617171552778</c:v>
                </c:pt>
                <c:pt idx="401">
                  <c:v>568.67810057460122</c:v>
                </c:pt>
                <c:pt idx="402">
                  <c:v>570.7141102210569</c:v>
                </c:pt>
                <c:pt idx="403">
                  <c:v>572.74414527398483</c:v>
                </c:pt>
                <c:pt idx="404">
                  <c:v>574.76815107889797</c:v>
                </c:pt>
                <c:pt idx="405">
                  <c:v>576.78607371822943</c:v>
                </c:pt>
                <c:pt idx="406">
                  <c:v>578.79786002125991</c:v>
                </c:pt>
                <c:pt idx="407">
                  <c:v>580.80345757349392</c:v>
                </c:pt>
                <c:pt idx="408">
                  <c:v>582.80281472550109</c:v>
                </c:pt>
                <c:pt idx="409">
                  <c:v>584.7958806012407</c:v>
                </c:pt>
                <c:pt idx="410">
                  <c:v>586.7826051058837</c:v>
                </c:pt>
                <c:pt idx="411">
                  <c:v>588.76293893314778</c:v>
                </c:pt>
                <c:pt idx="412">
                  <c:v>590.7368335721585</c:v>
                </c:pt>
                <c:pt idx="413">
                  <c:v>592.70424131385073</c:v>
                </c:pt>
                <c:pt idx="414">
                  <c:v>594.66511525692272</c:v>
                </c:pt>
                <c:pt idx="415">
                  <c:v>596.61940931335437</c:v>
                </c:pt>
                <c:pt idx="416">
                  <c:v>598.56707821350165</c:v>
                </c:pt>
                <c:pt idx="417">
                  <c:v>600.50807751077821</c:v>
                </c:pt>
                <c:pt idx="418">
                  <c:v>602.44236358593469</c:v>
                </c:pt>
                <c:pt idx="419">
                  <c:v>604.36989365094564</c:v>
                </c:pt>
                <c:pt idx="420">
                  <c:v>606.29062575251373</c:v>
                </c:pt>
                <c:pt idx="421">
                  <c:v>608.20451877520156</c:v>
                </c:pt>
                <c:pt idx="422">
                  <c:v>610.11153244419859</c:v>
                </c:pt>
                <c:pt idx="423">
                  <c:v>612.01162732773366</c:v>
                </c:pt>
                <c:pt idx="424">
                  <c:v>613.90476483914063</c:v>
                </c:pt>
                <c:pt idx="425">
                  <c:v>615.79090723858519</c:v>
                </c:pt>
                <c:pt idx="426">
                  <c:v>617.67001763446171</c:v>
                </c:pt>
                <c:pt idx="427">
                  <c:v>619.54205998446753</c:v>
                </c:pt>
                <c:pt idx="428">
                  <c:v>621.40699909636203</c:v>
                </c:pt>
                <c:pt idx="429">
                  <c:v>623.26480062841881</c:v>
                </c:pt>
                <c:pt idx="430">
                  <c:v>625.11543108957676</c:v>
                </c:pt>
                <c:pt idx="431">
                  <c:v>626.95885783929884</c:v>
                </c:pt>
                <c:pt idx="432">
                  <c:v>628.79504908714432</c:v>
                </c:pt>
                <c:pt idx="433">
                  <c:v>630.62397389206183</c:v>
                </c:pt>
                <c:pt idx="434">
                  <c:v>632.44560216141008</c:v>
                </c:pt>
                <c:pt idx="435">
                  <c:v>634.2599046497121</c:v>
                </c:pt>
                <c:pt idx="436">
                  <c:v>636.06685295715045</c:v>
                </c:pt>
                <c:pt idx="437">
                  <c:v>637.86641952780906</c:v>
                </c:pt>
                <c:pt idx="438">
                  <c:v>639.65857764766861</c:v>
                </c:pt>
                <c:pt idx="439">
                  <c:v>641.44330144236062</c:v>
                </c:pt>
                <c:pt idx="440">
                  <c:v>643.22056587468785</c:v>
                </c:pt>
                <c:pt idx="441">
                  <c:v>644.99034674191546</c:v>
                </c:pt>
                <c:pt idx="442">
                  <c:v>646.75262067284007</c:v>
                </c:pt>
                <c:pt idx="443">
                  <c:v>648.50736512464198</c:v>
                </c:pt>
                <c:pt idx="444">
                  <c:v>650.25455837952666</c:v>
                </c:pt>
                <c:pt idx="445">
                  <c:v>651.99417954116075</c:v>
                </c:pt>
                <c:pt idx="446">
                  <c:v>653.72620853090905</c:v>
                </c:pt>
                <c:pt idx="447">
                  <c:v>655.45062608387707</c:v>
                </c:pt>
                <c:pt idx="448">
                  <c:v>657.16741374476578</c:v>
                </c:pt>
                <c:pt idx="449">
                  <c:v>658.87655386354299</c:v>
                </c:pt>
                <c:pt idx="450">
                  <c:v>660.5780295909376</c:v>
                </c:pt>
                <c:pt idx="451">
                  <c:v>662.27182487376137</c:v>
                </c:pt>
                <c:pt idx="452">
                  <c:v>663.9579244500643</c:v>
                </c:pt>
                <c:pt idx="453">
                  <c:v>665.63631384412815</c:v>
                </c:pt>
                <c:pt idx="454">
                  <c:v>667.30697936130355</c:v>
                </c:pt>
                <c:pt idx="455">
                  <c:v>668.96990808269572</c:v>
                </c:pt>
                <c:pt idx="456">
                  <c:v>670.62508785970408</c:v>
                </c:pt>
                <c:pt idx="457">
                  <c:v>672.27250730842081</c:v>
                </c:pt>
                <c:pt idx="458">
                  <c:v>673.91215580389269</c:v>
                </c:pt>
                <c:pt idx="459">
                  <c:v>675.54402347425184</c:v>
                </c:pt>
                <c:pt idx="460">
                  <c:v>677.16810119472018</c:v>
                </c:pt>
                <c:pt idx="461">
                  <c:v>678.78438058149118</c:v>
                </c:pt>
                <c:pt idx="462">
                  <c:v>680.39285398549589</c:v>
                </c:pt>
                <c:pt idx="463">
                  <c:v>681.99351448605535</c:v>
                </c:pt>
                <c:pt idx="464">
                  <c:v>683.5863558844261</c:v>
                </c:pt>
                <c:pt idx="465">
                  <c:v>685.17137269724196</c:v>
                </c:pt>
                <c:pt idx="466">
                  <c:v>686.74856014985744</c:v>
                </c:pt>
                <c:pt idx="467">
                  <c:v>688.31791416959641</c:v>
                </c:pt>
                <c:pt idx="468">
                  <c:v>689.87943137891148</c:v>
                </c:pt>
                <c:pt idx="469">
                  <c:v>691.43310908845717</c:v>
                </c:pt>
                <c:pt idx="470">
                  <c:v>692.97894529008192</c:v>
                </c:pt>
                <c:pt idx="471">
                  <c:v>694.51693864974334</c:v>
                </c:pt>
                <c:pt idx="472">
                  <c:v>696.04708850034979</c:v>
                </c:pt>
                <c:pt idx="473">
                  <c:v>697.56939483453345</c:v>
                </c:pt>
                <c:pt idx="474">
                  <c:v>699.08385829735846</c:v>
                </c:pt>
                <c:pt idx="475">
                  <c:v>700.59048017896782</c:v>
                </c:pt>
                <c:pt idx="476">
                  <c:v>702.08926240717324</c:v>
                </c:pt>
                <c:pt idx="477">
                  <c:v>703.58020753999199</c:v>
                </c:pt>
                <c:pt idx="478">
                  <c:v>705.06331875813407</c:v>
                </c:pt>
                <c:pt idx="479">
                  <c:v>706.5385998574435</c:v>
                </c:pt>
                <c:pt idx="480">
                  <c:v>708.00605524129742</c:v>
                </c:pt>
                <c:pt idx="481">
                  <c:v>709.46568991296681</c:v>
                </c:pt>
                <c:pt idx="482">
                  <c:v>710.91750946794195</c:v>
                </c:pt>
                <c:pt idx="483">
                  <c:v>712.36152008622616</c:v>
                </c:pt>
                <c:pt idx="484">
                  <c:v>713.79772852460155</c:v>
                </c:pt>
                <c:pt idx="485">
                  <c:v>715.22614210886945</c:v>
                </c:pt>
                <c:pt idx="486">
                  <c:v>716.64676872606947</c:v>
                </c:pt>
                <c:pt idx="487">
                  <c:v>718.05961681667975</c:v>
                </c:pt>
                <c:pt idx="488">
                  <c:v>719.46469536680206</c:v>
                </c:pt>
                <c:pt idx="489">
                  <c:v>720.86201390033432</c:v>
                </c:pt>
                <c:pt idx="490">
                  <c:v>722.25158247113416</c:v>
                </c:pt>
                <c:pt idx="491">
                  <c:v>723.63341165517568</c:v>
                </c:pt>
                <c:pt idx="492">
                  <c:v>725.00751254270267</c:v>
                </c:pt>
                <c:pt idx="493">
                  <c:v>726.37389673038126</c:v>
                </c:pt>
                <c:pt idx="494">
                  <c:v>727.7325763134545</c:v>
                </c:pt>
                <c:pt idx="495">
                  <c:v>729.0835638779015</c:v>
                </c:pt>
                <c:pt idx="496">
                  <c:v>730.42687249260405</c:v>
                </c:pt>
                <c:pt idx="497">
                  <c:v>731.7625157015226</c:v>
                </c:pt>
                <c:pt idx="498">
                  <c:v>733.09050751588495</c:v>
                </c:pt>
                <c:pt idx="499">
                  <c:v>734.41086240638924</c:v>
                </c:pt>
                <c:pt idx="500">
                  <c:v>735.7235952954245</c:v>
                </c:pt>
                <c:pt idx="501">
                  <c:v>737.02872154931003</c:v>
                </c:pt>
                <c:pt idx="502">
                  <c:v>738.32625697055653</c:v>
                </c:pt>
                <c:pt idx="503">
                  <c:v>739.61621779015104</c:v>
                </c:pt>
                <c:pt idx="504">
                  <c:v>740.89862065986767</c:v>
                </c:pt>
                <c:pt idx="505">
                  <c:v>742.17348264460611</c:v>
                </c:pt>
                <c:pt idx="506">
                  <c:v>743.44082121476015</c:v>
                </c:pt>
                <c:pt idx="507">
                  <c:v>744.70065423861774</c:v>
                </c:pt>
                <c:pt idx="508">
                  <c:v>745.95299997479503</c:v>
                </c:pt>
                <c:pt idx="509">
                  <c:v>747.19787706470595</c:v>
                </c:pt>
                <c:pt idx="510">
                  <c:v>748.43530452506832</c:v>
                </c:pt>
                <c:pt idx="511">
                  <c:v>749.66530174044965</c:v>
                </c:pt>
                <c:pt idx="512">
                  <c:v>750.88788845585316</c:v>
                </c:pt>
                <c:pt idx="513">
                  <c:v>752.10308476934563</c:v>
                </c:pt>
                <c:pt idx="514">
                  <c:v>753.31091112472961</c:v>
                </c:pt>
                <c:pt idx="515">
                  <c:v>754.51138830425998</c:v>
                </c:pt>
                <c:pt idx="516">
                  <c:v>755.70453742140728</c:v>
                </c:pt>
                <c:pt idx="517">
                  <c:v>755.70453742140728</c:v>
                </c:pt>
                <c:pt idx="518">
                  <c:v>755.70453742140728</c:v>
                </c:pt>
                <c:pt idx="519">
                  <c:v>755.70453742140728</c:v>
                </c:pt>
                <c:pt idx="520">
                  <c:v>755.70453742140728</c:v>
                </c:pt>
                <c:pt idx="521">
                  <c:v>755.70453742140728</c:v>
                </c:pt>
                <c:pt idx="522">
                  <c:v>755.70453742140728</c:v>
                </c:pt>
                <c:pt idx="523">
                  <c:v>755.70453742140728</c:v>
                </c:pt>
                <c:pt idx="524">
                  <c:v>755.70453742140728</c:v>
                </c:pt>
                <c:pt idx="525">
                  <c:v>755.70453742140728</c:v>
                </c:pt>
                <c:pt idx="526">
                  <c:v>755.70453742140728</c:v>
                </c:pt>
                <c:pt idx="527">
                  <c:v>755.70453742140728</c:v>
                </c:pt>
                <c:pt idx="528">
                  <c:v>755.70453742140728</c:v>
                </c:pt>
                <c:pt idx="529">
                  <c:v>755.70453742140728</c:v>
                </c:pt>
                <c:pt idx="530">
                  <c:v>755.70453742140728</c:v>
                </c:pt>
                <c:pt idx="531">
                  <c:v>755.70453742140728</c:v>
                </c:pt>
                <c:pt idx="532">
                  <c:v>755.70453742140728</c:v>
                </c:pt>
                <c:pt idx="533">
                  <c:v>755.70453742140728</c:v>
                </c:pt>
                <c:pt idx="534">
                  <c:v>755.70453742140728</c:v>
                </c:pt>
                <c:pt idx="535">
                  <c:v>755.70453742140728</c:v>
                </c:pt>
                <c:pt idx="536">
                  <c:v>755.70453742140728</c:v>
                </c:pt>
                <c:pt idx="537">
                  <c:v>755.70453742140728</c:v>
                </c:pt>
                <c:pt idx="538">
                  <c:v>755.70453742140728</c:v>
                </c:pt>
                <c:pt idx="539">
                  <c:v>755.70453742140728</c:v>
                </c:pt>
                <c:pt idx="540">
                  <c:v>755.70453742140728</c:v>
                </c:pt>
                <c:pt idx="541">
                  <c:v>755.70453742140728</c:v>
                </c:pt>
                <c:pt idx="542">
                  <c:v>755.70453742140728</c:v>
                </c:pt>
                <c:pt idx="543">
                  <c:v>755.70453742140728</c:v>
                </c:pt>
                <c:pt idx="544">
                  <c:v>755.70453742140728</c:v>
                </c:pt>
                <c:pt idx="545">
                  <c:v>755.70453742140728</c:v>
                </c:pt>
                <c:pt idx="546">
                  <c:v>755.70453742140728</c:v>
                </c:pt>
                <c:pt idx="547">
                  <c:v>755.70453742140728</c:v>
                </c:pt>
                <c:pt idx="548">
                  <c:v>755.70453742140728</c:v>
                </c:pt>
                <c:pt idx="549">
                  <c:v>755.70453742140728</c:v>
                </c:pt>
                <c:pt idx="550">
                  <c:v>755.70453742140728</c:v>
                </c:pt>
                <c:pt idx="551">
                  <c:v>755.70453742140728</c:v>
                </c:pt>
                <c:pt idx="552">
                  <c:v>755.70453742140728</c:v>
                </c:pt>
                <c:pt idx="553">
                  <c:v>755.70453742140728</c:v>
                </c:pt>
                <c:pt idx="554">
                  <c:v>755.70453742140728</c:v>
                </c:pt>
                <c:pt idx="555">
                  <c:v>755.70453742140728</c:v>
                </c:pt>
                <c:pt idx="556">
                  <c:v>755.70453742140728</c:v>
                </c:pt>
                <c:pt idx="557">
                  <c:v>755.70453742140728</c:v>
                </c:pt>
                <c:pt idx="558">
                  <c:v>755.70453742140728</c:v>
                </c:pt>
                <c:pt idx="559">
                  <c:v>755.70453742140728</c:v>
                </c:pt>
                <c:pt idx="560">
                  <c:v>755.70453742140728</c:v>
                </c:pt>
                <c:pt idx="561">
                  <c:v>755.70453742140728</c:v>
                </c:pt>
                <c:pt idx="562">
                  <c:v>755.70453742140728</c:v>
                </c:pt>
                <c:pt idx="563">
                  <c:v>755.70453742140728</c:v>
                </c:pt>
                <c:pt idx="564">
                  <c:v>755.70453742140728</c:v>
                </c:pt>
                <c:pt idx="565">
                  <c:v>755.70453742140728</c:v>
                </c:pt>
                <c:pt idx="566">
                  <c:v>755.70453742140728</c:v>
                </c:pt>
                <c:pt idx="567">
                  <c:v>755.70453742140728</c:v>
                </c:pt>
                <c:pt idx="568">
                  <c:v>755.70453742140728</c:v>
                </c:pt>
                <c:pt idx="569">
                  <c:v>755.70453742140728</c:v>
                </c:pt>
                <c:pt idx="570">
                  <c:v>755.70453742140728</c:v>
                </c:pt>
                <c:pt idx="571">
                  <c:v>755.70453742140728</c:v>
                </c:pt>
                <c:pt idx="572">
                  <c:v>755.70453742140728</c:v>
                </c:pt>
                <c:pt idx="573">
                  <c:v>755.70453742140728</c:v>
                </c:pt>
                <c:pt idx="574">
                  <c:v>755.70453742140728</c:v>
                </c:pt>
                <c:pt idx="575">
                  <c:v>755.70453742140728</c:v>
                </c:pt>
                <c:pt idx="576">
                  <c:v>755.70453742140728</c:v>
                </c:pt>
                <c:pt idx="577">
                  <c:v>755.70453742140728</c:v>
                </c:pt>
                <c:pt idx="578">
                  <c:v>755.70453742140728</c:v>
                </c:pt>
                <c:pt idx="579">
                  <c:v>755.70453742140728</c:v>
                </c:pt>
                <c:pt idx="580">
                  <c:v>755.70453742140728</c:v>
                </c:pt>
                <c:pt idx="581">
                  <c:v>755.70453742140728</c:v>
                </c:pt>
                <c:pt idx="582">
                  <c:v>755.70453742140728</c:v>
                </c:pt>
                <c:pt idx="583">
                  <c:v>755.70453742140728</c:v>
                </c:pt>
                <c:pt idx="584">
                  <c:v>755.70453742140728</c:v>
                </c:pt>
                <c:pt idx="585">
                  <c:v>755.70453742140728</c:v>
                </c:pt>
                <c:pt idx="586">
                  <c:v>755.70453742140728</c:v>
                </c:pt>
                <c:pt idx="587">
                  <c:v>755.70453742140728</c:v>
                </c:pt>
                <c:pt idx="588">
                  <c:v>755.70453742140728</c:v>
                </c:pt>
                <c:pt idx="589">
                  <c:v>755.70453742140728</c:v>
                </c:pt>
                <c:pt idx="590">
                  <c:v>755.70453742140728</c:v>
                </c:pt>
                <c:pt idx="591">
                  <c:v>755.70453742140728</c:v>
                </c:pt>
                <c:pt idx="592">
                  <c:v>755.70453742140728</c:v>
                </c:pt>
                <c:pt idx="593">
                  <c:v>755.70453742140728</c:v>
                </c:pt>
                <c:pt idx="594">
                  <c:v>755.70453742140728</c:v>
                </c:pt>
                <c:pt idx="595">
                  <c:v>755.70453742140728</c:v>
                </c:pt>
                <c:pt idx="596">
                  <c:v>755.70453742140728</c:v>
                </c:pt>
                <c:pt idx="597">
                  <c:v>755.70453742140728</c:v>
                </c:pt>
                <c:pt idx="598">
                  <c:v>755.70453742140728</c:v>
                </c:pt>
                <c:pt idx="599">
                  <c:v>755.70453742140728</c:v>
                </c:pt>
                <c:pt idx="600">
                  <c:v>755.70453742140728</c:v>
                </c:pt>
                <c:pt idx="601">
                  <c:v>755.70453742140728</c:v>
                </c:pt>
                <c:pt idx="602">
                  <c:v>755.70453742140728</c:v>
                </c:pt>
                <c:pt idx="603">
                  <c:v>755.70453742140728</c:v>
                </c:pt>
                <c:pt idx="604">
                  <c:v>755.70453742140728</c:v>
                </c:pt>
                <c:pt idx="605">
                  <c:v>755.70453742140728</c:v>
                </c:pt>
                <c:pt idx="606">
                  <c:v>755.70453742140728</c:v>
                </c:pt>
                <c:pt idx="607">
                  <c:v>755.70453742140728</c:v>
                </c:pt>
                <c:pt idx="608">
                  <c:v>755.70453742140728</c:v>
                </c:pt>
                <c:pt idx="609">
                  <c:v>755.70453742140728</c:v>
                </c:pt>
                <c:pt idx="610">
                  <c:v>755.70453742140728</c:v>
                </c:pt>
                <c:pt idx="611">
                  <c:v>755.70453742140728</c:v>
                </c:pt>
                <c:pt idx="612">
                  <c:v>755.70453742140728</c:v>
                </c:pt>
                <c:pt idx="613">
                  <c:v>755.70453742140728</c:v>
                </c:pt>
                <c:pt idx="614">
                  <c:v>755.70453742140728</c:v>
                </c:pt>
                <c:pt idx="615">
                  <c:v>755.70453742140728</c:v>
                </c:pt>
                <c:pt idx="616">
                  <c:v>755.70453742140728</c:v>
                </c:pt>
                <c:pt idx="617">
                  <c:v>755.70453742140728</c:v>
                </c:pt>
                <c:pt idx="618">
                  <c:v>755.70453742140728</c:v>
                </c:pt>
                <c:pt idx="619">
                  <c:v>755.70453742140728</c:v>
                </c:pt>
                <c:pt idx="620">
                  <c:v>755.70453742140728</c:v>
                </c:pt>
                <c:pt idx="621">
                  <c:v>755.70453742140728</c:v>
                </c:pt>
                <c:pt idx="622">
                  <c:v>755.70453742140728</c:v>
                </c:pt>
                <c:pt idx="623">
                  <c:v>755.70453742140728</c:v>
                </c:pt>
                <c:pt idx="624">
                  <c:v>755.70453742140728</c:v>
                </c:pt>
                <c:pt idx="625">
                  <c:v>755.70453742140728</c:v>
                </c:pt>
                <c:pt idx="626">
                  <c:v>755.70453742140728</c:v>
                </c:pt>
                <c:pt idx="627">
                  <c:v>755.70453742140728</c:v>
                </c:pt>
                <c:pt idx="628">
                  <c:v>755.70453742140728</c:v>
                </c:pt>
                <c:pt idx="629">
                  <c:v>755.70453742140728</c:v>
                </c:pt>
                <c:pt idx="630">
                  <c:v>755.70453742140728</c:v>
                </c:pt>
                <c:pt idx="631">
                  <c:v>755.70453742140728</c:v>
                </c:pt>
                <c:pt idx="632">
                  <c:v>755.70453742140728</c:v>
                </c:pt>
                <c:pt idx="633">
                  <c:v>755.70453742140728</c:v>
                </c:pt>
                <c:pt idx="634">
                  <c:v>755.70453742140728</c:v>
                </c:pt>
                <c:pt idx="635">
                  <c:v>755.70453742140728</c:v>
                </c:pt>
                <c:pt idx="636">
                  <c:v>755.70453742140728</c:v>
                </c:pt>
                <c:pt idx="637">
                  <c:v>755.70453742140728</c:v>
                </c:pt>
                <c:pt idx="638">
                  <c:v>755.70453742140728</c:v>
                </c:pt>
                <c:pt idx="639">
                  <c:v>755.70453742140728</c:v>
                </c:pt>
                <c:pt idx="640">
                  <c:v>755.70453742140728</c:v>
                </c:pt>
                <c:pt idx="641">
                  <c:v>755.70453742140728</c:v>
                </c:pt>
                <c:pt idx="642">
                  <c:v>755.70453742140728</c:v>
                </c:pt>
                <c:pt idx="643">
                  <c:v>755.70453742140728</c:v>
                </c:pt>
                <c:pt idx="644">
                  <c:v>755.70453742140728</c:v>
                </c:pt>
                <c:pt idx="645">
                  <c:v>755.70453742140728</c:v>
                </c:pt>
                <c:pt idx="646">
                  <c:v>755.70453742140728</c:v>
                </c:pt>
                <c:pt idx="647">
                  <c:v>755.70453742140728</c:v>
                </c:pt>
                <c:pt idx="648">
                  <c:v>755.70453742140728</c:v>
                </c:pt>
                <c:pt idx="649">
                  <c:v>755.70453742140728</c:v>
                </c:pt>
                <c:pt idx="650">
                  <c:v>755.70453742140728</c:v>
                </c:pt>
                <c:pt idx="651">
                  <c:v>755.70453742140728</c:v>
                </c:pt>
                <c:pt idx="652">
                  <c:v>755.70453742140728</c:v>
                </c:pt>
                <c:pt idx="653">
                  <c:v>755.70453742140728</c:v>
                </c:pt>
                <c:pt idx="654">
                  <c:v>755.70453742140728</c:v>
                </c:pt>
                <c:pt idx="655">
                  <c:v>755.70453742140728</c:v>
                </c:pt>
                <c:pt idx="656">
                  <c:v>755.70453742140728</c:v>
                </c:pt>
                <c:pt idx="657">
                  <c:v>755.70453742140728</c:v>
                </c:pt>
                <c:pt idx="658">
                  <c:v>755.70453742140728</c:v>
                </c:pt>
                <c:pt idx="659">
                  <c:v>755.70453742140728</c:v>
                </c:pt>
                <c:pt idx="660">
                  <c:v>755.70453742140728</c:v>
                </c:pt>
                <c:pt idx="661">
                  <c:v>755.70453742140728</c:v>
                </c:pt>
                <c:pt idx="662">
                  <c:v>755.70453742140728</c:v>
                </c:pt>
                <c:pt idx="663">
                  <c:v>755.70453742140728</c:v>
                </c:pt>
                <c:pt idx="664">
                  <c:v>755.70453742140728</c:v>
                </c:pt>
                <c:pt idx="665">
                  <c:v>755.70453742140728</c:v>
                </c:pt>
                <c:pt idx="666">
                  <c:v>755.70453742140728</c:v>
                </c:pt>
                <c:pt idx="667">
                  <c:v>755.70453742140728</c:v>
                </c:pt>
                <c:pt idx="668">
                  <c:v>755.70453742140728</c:v>
                </c:pt>
                <c:pt idx="669">
                  <c:v>755.70453742140728</c:v>
                </c:pt>
                <c:pt idx="670">
                  <c:v>755.70453742140728</c:v>
                </c:pt>
                <c:pt idx="671">
                  <c:v>755.70453742140728</c:v>
                </c:pt>
                <c:pt idx="672">
                  <c:v>755.70453742140728</c:v>
                </c:pt>
                <c:pt idx="673">
                  <c:v>755.70453742140728</c:v>
                </c:pt>
                <c:pt idx="674">
                  <c:v>755.70453742140728</c:v>
                </c:pt>
                <c:pt idx="675">
                  <c:v>755.70453742140728</c:v>
                </c:pt>
                <c:pt idx="676">
                  <c:v>755.70453742140728</c:v>
                </c:pt>
                <c:pt idx="677">
                  <c:v>755.70453742140728</c:v>
                </c:pt>
                <c:pt idx="678">
                  <c:v>755.70453742140728</c:v>
                </c:pt>
                <c:pt idx="679">
                  <c:v>755.70453742140728</c:v>
                </c:pt>
                <c:pt idx="680">
                  <c:v>755.70453742140728</c:v>
                </c:pt>
                <c:pt idx="681">
                  <c:v>755.70453742140728</c:v>
                </c:pt>
                <c:pt idx="682">
                  <c:v>755.70453742140728</c:v>
                </c:pt>
                <c:pt idx="683">
                  <c:v>755.70453742140728</c:v>
                </c:pt>
                <c:pt idx="684">
                  <c:v>755.70453742140728</c:v>
                </c:pt>
                <c:pt idx="685">
                  <c:v>755.70453742140728</c:v>
                </c:pt>
                <c:pt idx="686">
                  <c:v>755.70453742140728</c:v>
                </c:pt>
                <c:pt idx="687">
                  <c:v>755.70453742140728</c:v>
                </c:pt>
                <c:pt idx="688">
                  <c:v>755.70453742140728</c:v>
                </c:pt>
                <c:pt idx="689">
                  <c:v>755.70453742140728</c:v>
                </c:pt>
                <c:pt idx="690">
                  <c:v>755.70453742140728</c:v>
                </c:pt>
                <c:pt idx="691">
                  <c:v>755.70453742140728</c:v>
                </c:pt>
                <c:pt idx="692">
                  <c:v>755.70453742140728</c:v>
                </c:pt>
                <c:pt idx="693">
                  <c:v>755.70453742140728</c:v>
                </c:pt>
                <c:pt idx="694">
                  <c:v>755.70453742140728</c:v>
                </c:pt>
                <c:pt idx="695">
                  <c:v>755.70453742140728</c:v>
                </c:pt>
                <c:pt idx="696">
                  <c:v>755.70453742140728</c:v>
                </c:pt>
                <c:pt idx="697">
                  <c:v>755.70453742140728</c:v>
                </c:pt>
                <c:pt idx="698">
                  <c:v>755.70453742140728</c:v>
                </c:pt>
                <c:pt idx="699">
                  <c:v>755.70453742140728</c:v>
                </c:pt>
                <c:pt idx="700">
                  <c:v>755.70453742140728</c:v>
                </c:pt>
                <c:pt idx="701">
                  <c:v>755.70453742140728</c:v>
                </c:pt>
                <c:pt idx="702">
                  <c:v>755.70453742140728</c:v>
                </c:pt>
                <c:pt idx="703">
                  <c:v>755.70453742140728</c:v>
                </c:pt>
                <c:pt idx="704">
                  <c:v>755.70453742140728</c:v>
                </c:pt>
                <c:pt idx="705">
                  <c:v>755.70453742140728</c:v>
                </c:pt>
                <c:pt idx="706">
                  <c:v>755.70453742140728</c:v>
                </c:pt>
                <c:pt idx="707">
                  <c:v>755.70453742140728</c:v>
                </c:pt>
                <c:pt idx="708">
                  <c:v>755.70453742140728</c:v>
                </c:pt>
                <c:pt idx="709">
                  <c:v>755.70453742140728</c:v>
                </c:pt>
                <c:pt idx="710">
                  <c:v>755.70453742140728</c:v>
                </c:pt>
                <c:pt idx="711">
                  <c:v>755.70453742140728</c:v>
                </c:pt>
                <c:pt idx="712">
                  <c:v>755.70453742140728</c:v>
                </c:pt>
                <c:pt idx="713">
                  <c:v>755.70453742140728</c:v>
                </c:pt>
                <c:pt idx="714">
                  <c:v>755.70453742140728</c:v>
                </c:pt>
                <c:pt idx="715">
                  <c:v>755.70453742140728</c:v>
                </c:pt>
                <c:pt idx="716">
                  <c:v>755.70453742140728</c:v>
                </c:pt>
                <c:pt idx="717">
                  <c:v>755.70453742140728</c:v>
                </c:pt>
                <c:pt idx="718">
                  <c:v>755.70453742140728</c:v>
                </c:pt>
                <c:pt idx="719">
                  <c:v>755.70453742140728</c:v>
                </c:pt>
                <c:pt idx="720">
                  <c:v>755.70453742140728</c:v>
                </c:pt>
                <c:pt idx="721">
                  <c:v>755.70453742140728</c:v>
                </c:pt>
                <c:pt idx="722">
                  <c:v>755.70453742140728</c:v>
                </c:pt>
                <c:pt idx="723">
                  <c:v>755.70453742140728</c:v>
                </c:pt>
                <c:pt idx="724">
                  <c:v>755.70453742140728</c:v>
                </c:pt>
                <c:pt idx="725">
                  <c:v>755.70453742140728</c:v>
                </c:pt>
                <c:pt idx="726">
                  <c:v>755.70453742140728</c:v>
                </c:pt>
                <c:pt idx="727">
                  <c:v>755.70453742140728</c:v>
                </c:pt>
                <c:pt idx="728">
                  <c:v>755.70453742140728</c:v>
                </c:pt>
                <c:pt idx="729">
                  <c:v>755.70453742140728</c:v>
                </c:pt>
                <c:pt idx="730">
                  <c:v>755.70453742140728</c:v>
                </c:pt>
                <c:pt idx="731">
                  <c:v>755.70453742140728</c:v>
                </c:pt>
                <c:pt idx="732">
                  <c:v>755.70453742140728</c:v>
                </c:pt>
                <c:pt idx="733">
                  <c:v>755.70453742140728</c:v>
                </c:pt>
                <c:pt idx="734">
                  <c:v>755.70453742140728</c:v>
                </c:pt>
                <c:pt idx="735">
                  <c:v>755.70453742140728</c:v>
                </c:pt>
                <c:pt idx="736">
                  <c:v>755.70453742140728</c:v>
                </c:pt>
                <c:pt idx="737">
                  <c:v>755.70453742140728</c:v>
                </c:pt>
                <c:pt idx="738">
                  <c:v>755.70453742140728</c:v>
                </c:pt>
                <c:pt idx="739">
                  <c:v>755.70453742140728</c:v>
                </c:pt>
                <c:pt idx="740">
                  <c:v>755.70453742140728</c:v>
                </c:pt>
                <c:pt idx="741">
                  <c:v>755.70453742140728</c:v>
                </c:pt>
                <c:pt idx="742">
                  <c:v>755.70453742140728</c:v>
                </c:pt>
                <c:pt idx="743">
                  <c:v>755.70453742140728</c:v>
                </c:pt>
                <c:pt idx="744">
                  <c:v>755.70453742140728</c:v>
                </c:pt>
                <c:pt idx="745">
                  <c:v>755.70453742140728</c:v>
                </c:pt>
                <c:pt idx="746">
                  <c:v>755.70453742140728</c:v>
                </c:pt>
                <c:pt idx="747">
                  <c:v>755.70453742140728</c:v>
                </c:pt>
                <c:pt idx="748">
                  <c:v>755.70453742140728</c:v>
                </c:pt>
                <c:pt idx="749">
                  <c:v>755.70453742140728</c:v>
                </c:pt>
                <c:pt idx="750">
                  <c:v>755.70453742140728</c:v>
                </c:pt>
                <c:pt idx="751">
                  <c:v>755.70453742140728</c:v>
                </c:pt>
                <c:pt idx="752">
                  <c:v>755.70453742140728</c:v>
                </c:pt>
                <c:pt idx="753">
                  <c:v>755.70453742140728</c:v>
                </c:pt>
                <c:pt idx="754">
                  <c:v>755.70453742140728</c:v>
                </c:pt>
                <c:pt idx="755">
                  <c:v>755.70453742140728</c:v>
                </c:pt>
                <c:pt idx="756">
                  <c:v>755.70453742140728</c:v>
                </c:pt>
                <c:pt idx="757">
                  <c:v>755.70453742140728</c:v>
                </c:pt>
                <c:pt idx="758">
                  <c:v>755.70453742140728</c:v>
                </c:pt>
                <c:pt idx="759">
                  <c:v>755.70453742140728</c:v>
                </c:pt>
                <c:pt idx="760">
                  <c:v>755.70453742140728</c:v>
                </c:pt>
                <c:pt idx="761">
                  <c:v>755.70453742140728</c:v>
                </c:pt>
                <c:pt idx="762">
                  <c:v>755.70453742140728</c:v>
                </c:pt>
                <c:pt idx="763">
                  <c:v>755.70453742140728</c:v>
                </c:pt>
                <c:pt idx="764">
                  <c:v>755.70453742140728</c:v>
                </c:pt>
                <c:pt idx="765">
                  <c:v>755.70453742140728</c:v>
                </c:pt>
                <c:pt idx="766">
                  <c:v>755.70453742140728</c:v>
                </c:pt>
                <c:pt idx="767">
                  <c:v>755.70453742140728</c:v>
                </c:pt>
                <c:pt idx="768">
                  <c:v>755.70453742140728</c:v>
                </c:pt>
                <c:pt idx="769">
                  <c:v>755.70453742140728</c:v>
                </c:pt>
                <c:pt idx="770">
                  <c:v>755.70453742140728</c:v>
                </c:pt>
                <c:pt idx="771">
                  <c:v>755.70453742140728</c:v>
                </c:pt>
                <c:pt idx="772">
                  <c:v>755.70453742140728</c:v>
                </c:pt>
                <c:pt idx="773">
                  <c:v>755.70453742140728</c:v>
                </c:pt>
                <c:pt idx="774">
                  <c:v>755.70453742140728</c:v>
                </c:pt>
                <c:pt idx="775">
                  <c:v>755.70453742140728</c:v>
                </c:pt>
                <c:pt idx="776">
                  <c:v>755.70453742140728</c:v>
                </c:pt>
                <c:pt idx="777">
                  <c:v>755.70453742140728</c:v>
                </c:pt>
                <c:pt idx="778">
                  <c:v>755.70453742140728</c:v>
                </c:pt>
                <c:pt idx="779">
                  <c:v>755.70453742140728</c:v>
                </c:pt>
                <c:pt idx="780">
                  <c:v>755.70453742140728</c:v>
                </c:pt>
                <c:pt idx="781">
                  <c:v>755.70453742140728</c:v>
                </c:pt>
                <c:pt idx="782">
                  <c:v>755.70453742140728</c:v>
                </c:pt>
                <c:pt idx="783">
                  <c:v>755.70453742140728</c:v>
                </c:pt>
                <c:pt idx="784">
                  <c:v>755.70453742140728</c:v>
                </c:pt>
                <c:pt idx="785">
                  <c:v>755.70453742140728</c:v>
                </c:pt>
                <c:pt idx="786">
                  <c:v>755.70453742140728</c:v>
                </c:pt>
                <c:pt idx="787">
                  <c:v>755.70453742140728</c:v>
                </c:pt>
                <c:pt idx="788">
                  <c:v>755.70453742140728</c:v>
                </c:pt>
                <c:pt idx="789">
                  <c:v>755.70453742140728</c:v>
                </c:pt>
                <c:pt idx="790">
                  <c:v>755.70453742140728</c:v>
                </c:pt>
                <c:pt idx="791">
                  <c:v>755.70453742140728</c:v>
                </c:pt>
                <c:pt idx="792">
                  <c:v>755.70453742140728</c:v>
                </c:pt>
                <c:pt idx="793">
                  <c:v>755.70453742140728</c:v>
                </c:pt>
                <c:pt idx="794">
                  <c:v>755.70453742140728</c:v>
                </c:pt>
                <c:pt idx="795">
                  <c:v>755.70453742140728</c:v>
                </c:pt>
                <c:pt idx="796">
                  <c:v>755.70453742140728</c:v>
                </c:pt>
                <c:pt idx="797">
                  <c:v>755.70453742140728</c:v>
                </c:pt>
                <c:pt idx="798">
                  <c:v>755.70453742140728</c:v>
                </c:pt>
                <c:pt idx="799">
                  <c:v>755.70453742140728</c:v>
                </c:pt>
                <c:pt idx="800">
                  <c:v>755.70453742140728</c:v>
                </c:pt>
                <c:pt idx="801">
                  <c:v>755.70453742140728</c:v>
                </c:pt>
                <c:pt idx="802">
                  <c:v>755.70453742140728</c:v>
                </c:pt>
                <c:pt idx="803">
                  <c:v>755.70453742140728</c:v>
                </c:pt>
                <c:pt idx="804">
                  <c:v>755.70453742140728</c:v>
                </c:pt>
                <c:pt idx="805">
                  <c:v>755.70453742140728</c:v>
                </c:pt>
                <c:pt idx="806">
                  <c:v>755.70453742140728</c:v>
                </c:pt>
                <c:pt idx="807">
                  <c:v>755.70453742140728</c:v>
                </c:pt>
                <c:pt idx="808">
                  <c:v>755.70453742140728</c:v>
                </c:pt>
                <c:pt idx="809">
                  <c:v>755.70453742140728</c:v>
                </c:pt>
                <c:pt idx="810">
                  <c:v>755.70453742140728</c:v>
                </c:pt>
                <c:pt idx="811">
                  <c:v>755.70453742140728</c:v>
                </c:pt>
                <c:pt idx="812">
                  <c:v>755.70453742140728</c:v>
                </c:pt>
                <c:pt idx="813">
                  <c:v>755.70453742140728</c:v>
                </c:pt>
                <c:pt idx="814">
                  <c:v>755.70453742140728</c:v>
                </c:pt>
                <c:pt idx="815">
                  <c:v>755.70453742140728</c:v>
                </c:pt>
                <c:pt idx="816">
                  <c:v>755.70453742140728</c:v>
                </c:pt>
                <c:pt idx="817">
                  <c:v>755.70453742140728</c:v>
                </c:pt>
                <c:pt idx="818">
                  <c:v>755.70453742140728</c:v>
                </c:pt>
                <c:pt idx="819">
                  <c:v>755.70453742140728</c:v>
                </c:pt>
                <c:pt idx="820">
                  <c:v>755.70453742140728</c:v>
                </c:pt>
                <c:pt idx="821">
                  <c:v>755.70453742140728</c:v>
                </c:pt>
                <c:pt idx="822">
                  <c:v>755.70453742140728</c:v>
                </c:pt>
                <c:pt idx="823">
                  <c:v>755.70453742140728</c:v>
                </c:pt>
                <c:pt idx="824">
                  <c:v>755.70453742140728</c:v>
                </c:pt>
                <c:pt idx="825">
                  <c:v>755.70453742140728</c:v>
                </c:pt>
                <c:pt idx="826">
                  <c:v>755.70453742140728</c:v>
                </c:pt>
                <c:pt idx="827">
                  <c:v>755.70453742140728</c:v>
                </c:pt>
                <c:pt idx="828">
                  <c:v>755.70453742140728</c:v>
                </c:pt>
                <c:pt idx="829">
                  <c:v>755.70453742140728</c:v>
                </c:pt>
                <c:pt idx="830">
                  <c:v>755.70453742140728</c:v>
                </c:pt>
                <c:pt idx="831">
                  <c:v>755.70453742140728</c:v>
                </c:pt>
                <c:pt idx="832">
                  <c:v>755.70453742140728</c:v>
                </c:pt>
                <c:pt idx="833">
                  <c:v>755.70453742140728</c:v>
                </c:pt>
                <c:pt idx="834">
                  <c:v>755.70453742140728</c:v>
                </c:pt>
                <c:pt idx="835">
                  <c:v>755.70453742140728</c:v>
                </c:pt>
                <c:pt idx="836">
                  <c:v>755.70453742140728</c:v>
                </c:pt>
                <c:pt idx="837">
                  <c:v>755.70453742140728</c:v>
                </c:pt>
                <c:pt idx="838">
                  <c:v>755.70453742140728</c:v>
                </c:pt>
                <c:pt idx="839">
                  <c:v>755.70453742140728</c:v>
                </c:pt>
                <c:pt idx="840">
                  <c:v>755.70453742140728</c:v>
                </c:pt>
                <c:pt idx="841">
                  <c:v>755.70453742140728</c:v>
                </c:pt>
                <c:pt idx="842">
                  <c:v>755.70453742140728</c:v>
                </c:pt>
                <c:pt idx="843">
                  <c:v>755.70453742140728</c:v>
                </c:pt>
                <c:pt idx="844">
                  <c:v>755.70453742140728</c:v>
                </c:pt>
                <c:pt idx="845">
                  <c:v>755.70453742140728</c:v>
                </c:pt>
                <c:pt idx="846">
                  <c:v>755.70453742140728</c:v>
                </c:pt>
                <c:pt idx="847">
                  <c:v>755.70453742140728</c:v>
                </c:pt>
                <c:pt idx="848">
                  <c:v>755.70453742140728</c:v>
                </c:pt>
                <c:pt idx="849">
                  <c:v>755.70453742140728</c:v>
                </c:pt>
                <c:pt idx="850">
                  <c:v>755.70453742140728</c:v>
                </c:pt>
                <c:pt idx="851">
                  <c:v>755.70453742140728</c:v>
                </c:pt>
                <c:pt idx="852">
                  <c:v>755.70453742140728</c:v>
                </c:pt>
                <c:pt idx="853">
                  <c:v>755.70453742140728</c:v>
                </c:pt>
                <c:pt idx="854">
                  <c:v>755.70453742140728</c:v>
                </c:pt>
                <c:pt idx="855">
                  <c:v>755.70453742140728</c:v>
                </c:pt>
                <c:pt idx="856">
                  <c:v>755.70453742140728</c:v>
                </c:pt>
                <c:pt idx="857">
                  <c:v>755.70453742140728</c:v>
                </c:pt>
                <c:pt idx="858">
                  <c:v>755.70453742140728</c:v>
                </c:pt>
                <c:pt idx="859">
                  <c:v>755.70453742140728</c:v>
                </c:pt>
                <c:pt idx="860">
                  <c:v>755.70453742140728</c:v>
                </c:pt>
                <c:pt idx="861">
                  <c:v>755.70453742140728</c:v>
                </c:pt>
                <c:pt idx="862">
                  <c:v>755.70453742140728</c:v>
                </c:pt>
                <c:pt idx="863">
                  <c:v>755.70453742140728</c:v>
                </c:pt>
                <c:pt idx="864">
                  <c:v>755.70453742140728</c:v>
                </c:pt>
                <c:pt idx="865">
                  <c:v>755.70453742140728</c:v>
                </c:pt>
                <c:pt idx="866">
                  <c:v>755.70453742140728</c:v>
                </c:pt>
                <c:pt idx="867">
                  <c:v>755.70453742140728</c:v>
                </c:pt>
                <c:pt idx="868">
                  <c:v>755.70453742140728</c:v>
                </c:pt>
                <c:pt idx="869">
                  <c:v>755.70453742140728</c:v>
                </c:pt>
                <c:pt idx="870">
                  <c:v>755.70453742140728</c:v>
                </c:pt>
                <c:pt idx="871">
                  <c:v>755.70453742140728</c:v>
                </c:pt>
                <c:pt idx="872">
                  <c:v>755.70453742140728</c:v>
                </c:pt>
                <c:pt idx="873">
                  <c:v>755.70453742140728</c:v>
                </c:pt>
                <c:pt idx="874">
                  <c:v>755.70453742140728</c:v>
                </c:pt>
                <c:pt idx="875">
                  <c:v>755.70453742140728</c:v>
                </c:pt>
                <c:pt idx="876">
                  <c:v>755.70453742140728</c:v>
                </c:pt>
                <c:pt idx="877">
                  <c:v>755.70453742140728</c:v>
                </c:pt>
                <c:pt idx="878">
                  <c:v>755.70453742140728</c:v>
                </c:pt>
                <c:pt idx="879">
                  <c:v>755.70453742140728</c:v>
                </c:pt>
                <c:pt idx="880">
                  <c:v>755.70453742140728</c:v>
                </c:pt>
                <c:pt idx="881">
                  <c:v>755.70453742140728</c:v>
                </c:pt>
                <c:pt idx="882">
                  <c:v>755.70453742140728</c:v>
                </c:pt>
                <c:pt idx="883">
                  <c:v>755.70453742140728</c:v>
                </c:pt>
                <c:pt idx="884">
                  <c:v>755.70453742140728</c:v>
                </c:pt>
                <c:pt idx="885">
                  <c:v>755.70453742140728</c:v>
                </c:pt>
                <c:pt idx="886">
                  <c:v>755.70453742140728</c:v>
                </c:pt>
                <c:pt idx="887">
                  <c:v>755.70453742140728</c:v>
                </c:pt>
                <c:pt idx="888">
                  <c:v>755.70453742140728</c:v>
                </c:pt>
                <c:pt idx="889">
                  <c:v>755.70453742140728</c:v>
                </c:pt>
                <c:pt idx="890">
                  <c:v>755.70453742140728</c:v>
                </c:pt>
                <c:pt idx="891">
                  <c:v>755.70453742140728</c:v>
                </c:pt>
                <c:pt idx="892">
                  <c:v>755.70453742140728</c:v>
                </c:pt>
                <c:pt idx="893">
                  <c:v>755.70453742140728</c:v>
                </c:pt>
                <c:pt idx="894">
                  <c:v>755.70453742140728</c:v>
                </c:pt>
                <c:pt idx="895">
                  <c:v>755.70453742140728</c:v>
                </c:pt>
                <c:pt idx="896">
                  <c:v>755.70453742140728</c:v>
                </c:pt>
                <c:pt idx="897">
                  <c:v>755.70453742140728</c:v>
                </c:pt>
                <c:pt idx="898">
                  <c:v>755.70453742140728</c:v>
                </c:pt>
                <c:pt idx="899">
                  <c:v>755.70453742140728</c:v>
                </c:pt>
                <c:pt idx="900">
                  <c:v>755.70453742140728</c:v>
                </c:pt>
                <c:pt idx="901">
                  <c:v>755.70453742140728</c:v>
                </c:pt>
                <c:pt idx="902">
                  <c:v>755.70453742140728</c:v>
                </c:pt>
                <c:pt idx="903">
                  <c:v>755.70453742140728</c:v>
                </c:pt>
                <c:pt idx="904">
                  <c:v>755.70453742140728</c:v>
                </c:pt>
                <c:pt idx="905">
                  <c:v>755.70453742140728</c:v>
                </c:pt>
                <c:pt idx="906">
                  <c:v>755.70453742140728</c:v>
                </c:pt>
                <c:pt idx="907">
                  <c:v>755.70453742140728</c:v>
                </c:pt>
                <c:pt idx="908">
                  <c:v>755.70453742140728</c:v>
                </c:pt>
                <c:pt idx="909">
                  <c:v>755.70453742140728</c:v>
                </c:pt>
                <c:pt idx="910">
                  <c:v>755.70453742140728</c:v>
                </c:pt>
                <c:pt idx="911">
                  <c:v>755.70453742140728</c:v>
                </c:pt>
                <c:pt idx="912">
                  <c:v>755.70453742140728</c:v>
                </c:pt>
                <c:pt idx="913">
                  <c:v>755.70453742140728</c:v>
                </c:pt>
                <c:pt idx="914">
                  <c:v>755.70453742140728</c:v>
                </c:pt>
                <c:pt idx="915">
                  <c:v>755.70453742140728</c:v>
                </c:pt>
                <c:pt idx="916">
                  <c:v>755.70453742140728</c:v>
                </c:pt>
                <c:pt idx="917">
                  <c:v>755.70453742140728</c:v>
                </c:pt>
                <c:pt idx="918">
                  <c:v>755.70453742140728</c:v>
                </c:pt>
                <c:pt idx="919">
                  <c:v>755.70453742140728</c:v>
                </c:pt>
                <c:pt idx="920">
                  <c:v>755.70453742140728</c:v>
                </c:pt>
                <c:pt idx="921">
                  <c:v>755.70453742140728</c:v>
                </c:pt>
                <c:pt idx="922">
                  <c:v>755.70453742140728</c:v>
                </c:pt>
                <c:pt idx="923">
                  <c:v>755.70453742140728</c:v>
                </c:pt>
                <c:pt idx="924">
                  <c:v>755.70453742140728</c:v>
                </c:pt>
                <c:pt idx="925">
                  <c:v>755.70453742140728</c:v>
                </c:pt>
                <c:pt idx="926">
                  <c:v>755.70453742140728</c:v>
                </c:pt>
                <c:pt idx="927">
                  <c:v>755.70453742140728</c:v>
                </c:pt>
                <c:pt idx="928">
                  <c:v>755.70453742140728</c:v>
                </c:pt>
                <c:pt idx="929">
                  <c:v>755.70453742140728</c:v>
                </c:pt>
                <c:pt idx="930">
                  <c:v>755.70453742140728</c:v>
                </c:pt>
                <c:pt idx="931">
                  <c:v>755.70453742140728</c:v>
                </c:pt>
                <c:pt idx="932">
                  <c:v>755.70453742140728</c:v>
                </c:pt>
                <c:pt idx="933">
                  <c:v>755.70453742140728</c:v>
                </c:pt>
                <c:pt idx="934">
                  <c:v>755.70453742140728</c:v>
                </c:pt>
                <c:pt idx="935">
                  <c:v>755.70453742140728</c:v>
                </c:pt>
                <c:pt idx="936">
                  <c:v>755.70453742140728</c:v>
                </c:pt>
                <c:pt idx="937">
                  <c:v>755.70453742140728</c:v>
                </c:pt>
                <c:pt idx="938">
                  <c:v>755.70453742140728</c:v>
                </c:pt>
                <c:pt idx="939">
                  <c:v>755.70453742140728</c:v>
                </c:pt>
                <c:pt idx="940">
                  <c:v>755.70453742140728</c:v>
                </c:pt>
                <c:pt idx="941">
                  <c:v>755.70453742140728</c:v>
                </c:pt>
                <c:pt idx="942">
                  <c:v>755.70453742140728</c:v>
                </c:pt>
                <c:pt idx="943">
                  <c:v>755.70453742140728</c:v>
                </c:pt>
                <c:pt idx="944">
                  <c:v>755.70453742140728</c:v>
                </c:pt>
                <c:pt idx="945">
                  <c:v>755.70453742140728</c:v>
                </c:pt>
                <c:pt idx="946">
                  <c:v>755.70453742140728</c:v>
                </c:pt>
                <c:pt idx="947">
                  <c:v>755.70453742140728</c:v>
                </c:pt>
                <c:pt idx="948">
                  <c:v>755.70453742140728</c:v>
                </c:pt>
                <c:pt idx="949">
                  <c:v>755.70453742140728</c:v>
                </c:pt>
                <c:pt idx="950">
                  <c:v>755.70453742140728</c:v>
                </c:pt>
                <c:pt idx="951">
                  <c:v>755.70453742140728</c:v>
                </c:pt>
                <c:pt idx="952">
                  <c:v>755.70453742140728</c:v>
                </c:pt>
                <c:pt idx="953">
                  <c:v>755.70453742140728</c:v>
                </c:pt>
                <c:pt idx="954">
                  <c:v>755.70453742140728</c:v>
                </c:pt>
                <c:pt idx="955">
                  <c:v>755.70453742140728</c:v>
                </c:pt>
                <c:pt idx="956">
                  <c:v>755.70453742140728</c:v>
                </c:pt>
                <c:pt idx="957">
                  <c:v>755.70453742140728</c:v>
                </c:pt>
                <c:pt idx="958">
                  <c:v>755.70453742140728</c:v>
                </c:pt>
                <c:pt idx="959">
                  <c:v>755.70453742140728</c:v>
                </c:pt>
                <c:pt idx="960">
                  <c:v>755.70453742140728</c:v>
                </c:pt>
                <c:pt idx="961">
                  <c:v>755.70453742140728</c:v>
                </c:pt>
                <c:pt idx="962">
                  <c:v>755.70453742140728</c:v>
                </c:pt>
                <c:pt idx="963">
                  <c:v>755.70453742140728</c:v>
                </c:pt>
                <c:pt idx="964">
                  <c:v>755.70453742140728</c:v>
                </c:pt>
                <c:pt idx="965">
                  <c:v>755.70453742140728</c:v>
                </c:pt>
                <c:pt idx="966">
                  <c:v>755.70453742140728</c:v>
                </c:pt>
                <c:pt idx="967">
                  <c:v>755.70453742140728</c:v>
                </c:pt>
                <c:pt idx="968">
                  <c:v>755.70453742140728</c:v>
                </c:pt>
                <c:pt idx="969">
                  <c:v>755.70453742140728</c:v>
                </c:pt>
                <c:pt idx="970">
                  <c:v>755.70453742140728</c:v>
                </c:pt>
                <c:pt idx="971">
                  <c:v>755.70453742140728</c:v>
                </c:pt>
                <c:pt idx="972">
                  <c:v>755.70453742140728</c:v>
                </c:pt>
                <c:pt idx="973">
                  <c:v>755.70453742140728</c:v>
                </c:pt>
                <c:pt idx="974">
                  <c:v>755.70453742140728</c:v>
                </c:pt>
                <c:pt idx="975">
                  <c:v>755.70453742140728</c:v>
                </c:pt>
                <c:pt idx="976">
                  <c:v>755.70453742140728</c:v>
                </c:pt>
                <c:pt idx="977">
                  <c:v>755.70453742140728</c:v>
                </c:pt>
                <c:pt idx="978">
                  <c:v>755.70453742140728</c:v>
                </c:pt>
                <c:pt idx="979">
                  <c:v>755.70453742140728</c:v>
                </c:pt>
                <c:pt idx="980">
                  <c:v>755.70453742140728</c:v>
                </c:pt>
                <c:pt idx="981">
                  <c:v>755.70453742140728</c:v>
                </c:pt>
                <c:pt idx="982">
                  <c:v>755.70453742140728</c:v>
                </c:pt>
                <c:pt idx="983">
                  <c:v>755.70453742140728</c:v>
                </c:pt>
                <c:pt idx="984">
                  <c:v>755.70453742140728</c:v>
                </c:pt>
                <c:pt idx="985">
                  <c:v>755.70453742140728</c:v>
                </c:pt>
                <c:pt idx="986">
                  <c:v>755.70453742140728</c:v>
                </c:pt>
                <c:pt idx="987">
                  <c:v>755.70453742140728</c:v>
                </c:pt>
                <c:pt idx="988">
                  <c:v>755.70453742140728</c:v>
                </c:pt>
                <c:pt idx="989">
                  <c:v>755.70453742140728</c:v>
                </c:pt>
                <c:pt idx="990">
                  <c:v>755.70453742140728</c:v>
                </c:pt>
                <c:pt idx="991">
                  <c:v>755.70453742140728</c:v>
                </c:pt>
                <c:pt idx="992">
                  <c:v>755.70453742140728</c:v>
                </c:pt>
                <c:pt idx="993">
                  <c:v>755.70453742140728</c:v>
                </c:pt>
                <c:pt idx="994">
                  <c:v>755.70453742140728</c:v>
                </c:pt>
                <c:pt idx="995">
                  <c:v>755.70453742140728</c:v>
                </c:pt>
                <c:pt idx="996">
                  <c:v>755.70453742140728</c:v>
                </c:pt>
                <c:pt idx="997">
                  <c:v>755.70453742140728</c:v>
                </c:pt>
                <c:pt idx="998">
                  <c:v>755.70453742140728</c:v>
                </c:pt>
                <c:pt idx="999">
                  <c:v>755.70453742140728</c:v>
                </c:pt>
                <c:pt idx="1000">
                  <c:v>755.70453742140728</c:v>
                </c:pt>
              </c:numCache>
            </c:numRef>
          </c:xVal>
          <c:yVal>
            <c:numRef>
              <c:f>Calculs!$AE$4:$AE$1004</c:f>
              <c:numCache>
                <c:formatCode>0</c:formatCode>
                <c:ptCount val="1001"/>
                <c:pt idx="0">
                  <c:v>0</c:v>
                </c:pt>
                <c:pt idx="1">
                  <c:v>8.772253913530354E-4</c:v>
                </c:pt>
                <c:pt idx="2">
                  <c:v>7.2754367754342382E-3</c:v>
                </c:pt>
                <c:pt idx="3">
                  <c:v>2.5256519899900413E-2</c:v>
                </c:pt>
                <c:pt idx="4">
                  <c:v>5.6876016719973263E-2</c:v>
                </c:pt>
                <c:pt idx="5">
                  <c:v>0.10165371660956621</c:v>
                </c:pt>
                <c:pt idx="6">
                  <c:v>0.15925498526388057</c:v>
                </c:pt>
                <c:pt idx="7">
                  <c:v>0.22963793125601001</c:v>
                </c:pt>
                <c:pt idx="8">
                  <c:v>0.31290726322928986</c:v>
                </c:pt>
                <c:pt idx="9">
                  <c:v>0.40916774272854622</c:v>
                </c:pt>
                <c:pt idx="10">
                  <c:v>0.51852418208563844</c:v>
                </c:pt>
                <c:pt idx="11">
                  <c:v>0.64106621127563668</c:v>
                </c:pt>
                <c:pt idx="12">
                  <c:v>0.77685300300344962</c:v>
                </c:pt>
                <c:pt idx="13">
                  <c:v>0.92592843999032071</c:v>
                </c:pt>
                <c:pt idx="14">
                  <c:v>1.0883363243303719</c:v>
                </c:pt>
                <c:pt idx="15">
                  <c:v>1.264120375956824</c:v>
                </c:pt>
                <c:pt idx="16">
                  <c:v>1.4533242311033399</c:v>
                </c:pt>
                <c:pt idx="17">
                  <c:v>1.6559914407606002</c:v>
                </c:pt>
                <c:pt idx="18">
                  <c:v>1.8721654691282292</c:v>
                </c:pt>
                <c:pt idx="19">
                  <c:v>2.1018896920621857</c:v>
                </c:pt>
                <c:pt idx="20">
                  <c:v>2.3452073955177375</c:v>
                </c:pt>
                <c:pt idx="21">
                  <c:v>2.602155659767575</c:v>
                </c:pt>
                <c:pt idx="22">
                  <c:v>2.8727592271988414</c:v>
                </c:pt>
                <c:pt idx="23">
                  <c:v>3.1570365913001366</c:v>
                </c:pt>
                <c:pt idx="24">
                  <c:v>3.4550061023868048</c:v>
                </c:pt>
                <c:pt idx="25">
                  <c:v>3.7666859666786143</c:v>
                </c:pt>
                <c:pt idx="26">
                  <c:v>4.0920942453824569</c:v>
                </c:pt>
                <c:pt idx="27">
                  <c:v>4.4312340525029876</c:v>
                </c:pt>
                <c:pt idx="28">
                  <c:v>4.7841077362197328</c:v>
                </c:pt>
                <c:pt idx="29">
                  <c:v>5.1507316874083733</c:v>
                </c:pt>
                <c:pt idx="30">
                  <c:v>5.531122174472225</c:v>
                </c:pt>
                <c:pt idx="31">
                  <c:v>5.9252953511364588</c:v>
                </c:pt>
                <c:pt idx="32">
                  <c:v>6.3332672533163876</c:v>
                </c:pt>
                <c:pt idx="33">
                  <c:v>6.7550537962080375</c:v>
                </c:pt>
                <c:pt idx="34">
                  <c:v>7.1906707715740588</c:v>
                </c:pt>
                <c:pt idx="35">
                  <c:v>7.6401338452021657</c:v>
                </c:pt>
                <c:pt idx="36">
                  <c:v>8.1034585545166511</c:v>
                </c:pt>
                <c:pt idx="37">
                  <c:v>8.5806603063263491</c:v>
                </c:pt>
                <c:pt idx="38">
                  <c:v>9.0717543746947129</c:v>
                </c:pt>
                <c:pt idx="39">
                  <c:v>9.5767558989196608</c:v>
                </c:pt>
                <c:pt idx="40">
                  <c:v>10.095679881612455</c:v>
                </c:pt>
                <c:pt idx="41">
                  <c:v>10.628536427681617</c:v>
                </c:pt>
                <c:pt idx="42">
                  <c:v>11.175325972355473</c:v>
                </c:pt>
                <c:pt idx="43">
                  <c:v>11.736044023400133</c:v>
                </c:pt>
                <c:pt idx="44">
                  <c:v>12.310685914743388</c:v>
                </c:pt>
                <c:pt idx="45">
                  <c:v>12.899246805525491</c:v>
                </c:pt>
                <c:pt idx="46">
                  <c:v>13.501721679218752</c:v>
                </c:pt>
                <c:pt idx="47">
                  <c:v>14.118105342810834</c:v>
                </c:pt>
                <c:pt idx="48">
                  <c:v>14.748392426047207</c:v>
                </c:pt>
                <c:pt idx="49">
                  <c:v>15.392577380728719</c:v>
                </c:pt>
                <c:pt idx="50">
                  <c:v>16.050654480060643</c:v>
                </c:pt>
                <c:pt idx="51">
                  <c:v>16.722617818049983</c:v>
                </c:pt>
                <c:pt idx="52">
                  <c:v>17.408461308948098</c:v>
                </c:pt>
                <c:pt idx="53">
                  <c:v>18.108178686736036</c:v>
                </c:pt>
                <c:pt idx="54">
                  <c:v>18.8217635046502</c:v>
                </c:pt>
                <c:pt idx="55">
                  <c:v>19.549209134746221</c:v>
                </c:pt>
                <c:pt idx="56">
                  <c:v>20.290508767499063</c:v>
                </c:pt>
                <c:pt idx="57">
                  <c:v>21.045655411437622</c:v>
                </c:pt>
                <c:pt idx="58">
                  <c:v>21.814641892812219</c:v>
                </c:pt>
                <c:pt idx="59">
                  <c:v>22.597460855293495</c:v>
                </c:pt>
                <c:pt idx="60">
                  <c:v>23.394104759701406</c:v>
                </c:pt>
                <c:pt idx="61">
                  <c:v>24.204565883763053</c:v>
                </c:pt>
                <c:pt idx="62">
                  <c:v>25.028836321898275</c:v>
                </c:pt>
                <c:pt idx="63">
                  <c:v>25.866907985031929</c:v>
                </c:pt>
                <c:pt idx="64">
                  <c:v>26.71877260043194</c:v>
                </c:pt>
                <c:pt idx="65">
                  <c:v>27.584421711572233</c:v>
                </c:pt>
                <c:pt idx="66">
                  <c:v>28.463846678019735</c:v>
                </c:pt>
                <c:pt idx="67">
                  <c:v>29.357038675344725</c:v>
                </c:pt>
                <c:pt idx="68">
                  <c:v>30.263988695053818</c:v>
                </c:pt>
                <c:pt idx="69">
                  <c:v>31.18468754454495</c:v>
                </c:pt>
                <c:pt idx="70">
                  <c:v>32.119125847083765</c:v>
                </c:pt>
                <c:pt idx="71">
                  <c:v>33.067294041800871</c:v>
                </c:pt>
                <c:pt idx="72">
                  <c:v>34.02918238370939</c:v>
                </c:pt>
                <c:pt idx="73">
                  <c:v>35.004780943742425</c:v>
                </c:pt>
                <c:pt idx="74">
                  <c:v>35.994079608809855</c:v>
                </c:pt>
                <c:pt idx="75">
                  <c:v>36.997068081874161</c:v>
                </c:pt>
                <c:pt idx="76">
                  <c:v>38.013735882044799</c:v>
                </c:pt>
                <c:pt idx="77">
                  <c:v>39.044072344690811</c:v>
                </c:pt>
                <c:pt idx="78">
                  <c:v>40.088066621571258</c:v>
                </c:pt>
                <c:pt idx="79">
                  <c:v>41.1457076809832</c:v>
                </c:pt>
                <c:pt idx="80">
                  <c:v>42.216984307926872</c:v>
                </c:pt>
                <c:pt idx="81">
                  <c:v>43.301880264336113</c:v>
                </c:pt>
                <c:pt idx="82">
                  <c:v>44.400369440399622</c:v>
                </c:pt>
                <c:pt idx="83">
                  <c:v>45.51242068417173</c:v>
                </c:pt>
                <c:pt idx="84">
                  <c:v>46.638002640537323</c:v>
                </c:pt>
                <c:pt idx="85">
                  <c:v>47.777083752284568</c:v>
                </c:pt>
                <c:pt idx="86">
                  <c:v>48.92963226119516</c:v>
                </c:pt>
                <c:pt idx="87">
                  <c:v>50.095616209151714</c:v>
                </c:pt>
                <c:pt idx="88">
                  <c:v>51.275003439261987</c:v>
                </c:pt>
                <c:pt idx="89">
                  <c:v>52.467761596999388</c:v>
                </c:pt>
                <c:pt idx="90">
                  <c:v>53.673858131359609</c:v>
                </c:pt>
                <c:pt idx="91">
                  <c:v>54.893258156395945</c:v>
                </c:pt>
                <c:pt idx="92">
                  <c:v>56.125922309201115</c:v>
                </c:pt>
                <c:pt idx="93">
                  <c:v>57.37180888681921</c:v>
                </c:pt>
                <c:pt idx="94">
                  <c:v>58.630875986941582</c:v>
                </c:pt>
                <c:pt idx="95">
                  <c:v>59.903081509539369</c:v>
                </c:pt>
                <c:pt idx="96">
                  <c:v>61.188383158509829</c:v>
                </c:pt>
                <c:pt idx="97">
                  <c:v>62.486738443336158</c:v>
                </c:pt>
                <c:pt idx="98">
                  <c:v>63.798104680760403</c:v>
                </c:pt>
                <c:pt idx="99">
                  <c:v>65.122438996469057</c:v>
                </c:pt>
                <c:pt idx="100">
                  <c:v>66.459698326791056</c:v>
                </c:pt>
                <c:pt idx="101">
                  <c:v>67.809839077977514</c:v>
                </c:pt>
                <c:pt idx="102">
                  <c:v>69.172816784987262</c:v>
                </c:pt>
                <c:pt idx="103">
                  <c:v>70.54858645514517</c:v>
                </c:pt>
                <c:pt idx="104">
                  <c:v>71.93710291235017</c:v>
                </c:pt>
                <c:pt idx="105">
                  <c:v>73.338320798895296</c:v>
                </c:pt>
                <c:pt idx="106">
                  <c:v>74.752194577297999</c:v>
                </c:pt>
                <c:pt idx="107">
                  <c:v>76.178678532140111</c:v>
                </c:pt>
                <c:pt idx="108">
                  <c:v>77.617726771917361</c:v>
                </c:pt>
                <c:pt idx="109">
                  <c:v>79.069293230897998</c:v>
                </c:pt>
                <c:pt idx="110">
                  <c:v>80.533331670990165</c:v>
                </c:pt>
                <c:pt idx="111">
                  <c:v>82.009799628496125</c:v>
                </c:pt>
                <c:pt idx="112">
                  <c:v>83.49866236595993</c:v>
                </c:pt>
                <c:pt idx="113">
                  <c:v>84.999888933611786</c:v>
                </c:pt>
                <c:pt idx="114">
                  <c:v>86.513448225377232</c:v>
                </c:pt>
                <c:pt idx="115">
                  <c:v>88.039308980069563</c:v>
                </c:pt>
                <c:pt idx="116">
                  <c:v>89.577439782590886</c:v>
                </c:pt>
                <c:pt idx="117">
                  <c:v>91.127809065141633</c:v>
                </c:pt>
                <c:pt idx="118">
                  <c:v>92.690385108438264</c:v>
                </c:pt>
                <c:pt idx="119">
                  <c:v>94.265136042939091</c:v>
                </c:pt>
                <c:pt idx="120">
                  <c:v>95.852029850077955</c:v>
                </c:pt>
                <c:pt idx="121">
                  <c:v>97.451027816669367</c:v>
                </c:pt>
                <c:pt idx="122">
                  <c:v>99.062077981943247</c:v>
                </c:pt>
                <c:pt idx="123">
                  <c:v>100.68512168035352</c:v>
                </c:pt>
                <c:pt idx="124">
                  <c:v>102.3201000923803</c:v>
                </c:pt>
                <c:pt idx="125">
                  <c:v>103.96695424701494</c:v>
                </c:pt>
                <c:pt idx="126">
                  <c:v>105.62562502424719</c:v>
                </c:pt>
                <c:pt idx="127">
                  <c:v>107.29605315755407</c:v>
                </c:pt>
                <c:pt idx="128">
                  <c:v>108.97817923639029</c:v>
                </c:pt>
                <c:pt idx="129">
                  <c:v>110.67194370867954</c:v>
                </c:pt>
                <c:pt idx="130">
                  <c:v>112.37728688330651</c:v>
                </c:pt>
                <c:pt idx="131">
                  <c:v>114.09414721764742</c:v>
                </c:pt>
                <c:pt idx="132">
                  <c:v>115.82245960354244</c:v>
                </c:pt>
                <c:pt idx="133">
                  <c:v>117.56215708405546</c:v>
                </c:pt>
                <c:pt idx="134">
                  <c:v>119.31317257196277</c:v>
                </c:pt>
                <c:pt idx="135">
                  <c:v>121.07543885258555</c:v>
                </c:pt>
                <c:pt idx="136">
                  <c:v>122.84888858661861</c:v>
                </c:pt>
                <c:pt idx="137">
                  <c:v>124.63345431295531</c:v>
                </c:pt>
                <c:pt idx="138">
                  <c:v>126.42906845150793</c:v>
                </c:pt>
                <c:pt idx="139">
                  <c:v>128.23566330602353</c:v>
                </c:pt>
                <c:pt idx="140">
                  <c:v>130.05317106689444</c:v>
                </c:pt>
                <c:pt idx="141">
                  <c:v>131.88150329728774</c:v>
                </c:pt>
                <c:pt idx="142">
                  <c:v>133.72053040559149</c:v>
                </c:pt>
                <c:pt idx="143">
                  <c:v>135.57010216572837</c:v>
                </c:pt>
                <c:pt idx="144">
                  <c:v>137.43006825365975</c:v>
                </c:pt>
                <c:pt idx="145">
                  <c:v>139.30027825517917</c:v>
                </c:pt>
                <c:pt idx="146">
                  <c:v>141.18058167364725</c:v>
                </c:pt>
                <c:pt idx="147">
                  <c:v>143.07082793766736</c:v>
                </c:pt>
                <c:pt idx="148">
                  <c:v>144.97086640870035</c:v>
                </c:pt>
                <c:pt idx="149">
                  <c:v>146.88054638861755</c:v>
                </c:pt>
                <c:pt idx="150">
                  <c:v>148.79971712719083</c:v>
                </c:pt>
                <c:pt idx="151">
                  <c:v>150.72822782951872</c:v>
                </c:pt>
                <c:pt idx="152">
                  <c:v>152.66592766338741</c:v>
                </c:pt>
                <c:pt idx="153">
                  <c:v>154.61266576656575</c:v>
                </c:pt>
                <c:pt idx="154">
                  <c:v>156.56829125403337</c:v>
                </c:pt>
                <c:pt idx="155">
                  <c:v>158.53265322514068</c:v>
                </c:pt>
                <c:pt idx="156">
                  <c:v>160.50550353814256</c:v>
                </c:pt>
                <c:pt idx="157">
                  <c:v>162.48639958495508</c:v>
                </c:pt>
                <c:pt idx="158">
                  <c:v>164.47480164958151</c:v>
                </c:pt>
                <c:pt idx="159">
                  <c:v>166.47017029015527</c:v>
                </c:pt>
                <c:pt idx="160">
                  <c:v>168.47196639327146</c:v>
                </c:pt>
                <c:pt idx="161">
                  <c:v>170.47952759311173</c:v>
                </c:pt>
                <c:pt idx="162">
                  <c:v>172.49194478448419</c:v>
                </c:pt>
                <c:pt idx="163">
                  <c:v>174.50819791169513</c:v>
                </c:pt>
                <c:pt idx="164">
                  <c:v>176.52729170632691</c:v>
                </c:pt>
                <c:pt idx="165">
                  <c:v>178.54836213411519</c:v>
                </c:pt>
                <c:pt idx="166">
                  <c:v>180.57078266122147</c:v>
                </c:pt>
                <c:pt idx="167">
                  <c:v>182.59395606140745</c:v>
                </c:pt>
                <c:pt idx="168">
                  <c:v>184.61717147437133</c:v>
                </c:pt>
                <c:pt idx="169">
                  <c:v>186.63950902419984</c:v>
                </c:pt>
                <c:pt idx="170">
                  <c:v>188.65980967269536</c:v>
                </c:pt>
                <c:pt idx="171">
                  <c:v>190.67726287924197</c:v>
                </c:pt>
                <c:pt idx="172">
                  <c:v>192.69166813392965</c:v>
                </c:pt>
                <c:pt idx="173">
                  <c:v>194.7030320533828</c:v>
                </c:pt>
                <c:pt idx="174">
                  <c:v>196.71136122821548</c:v>
                </c:pt>
                <c:pt idx="175">
                  <c:v>198.71666222316696</c:v>
                </c:pt>
                <c:pt idx="176">
                  <c:v>200.71894157723634</c:v>
                </c:pt>
                <c:pt idx="177">
                  <c:v>202.71820580381623</c:v>
                </c:pt>
                <c:pt idx="178">
                  <c:v>204.71446139082576</c:v>
                </c:pt>
                <c:pt idx="179">
                  <c:v>206.70771480084247</c:v>
                </c:pt>
                <c:pt idx="180">
                  <c:v>208.6979724712335</c:v>
                </c:pt>
                <c:pt idx="181">
                  <c:v>210.68524081428581</c:v>
                </c:pt>
                <c:pt idx="182">
                  <c:v>212.66952621733566</c:v>
                </c:pt>
                <c:pt idx="183">
                  <c:v>214.65083504289723</c:v>
                </c:pt>
                <c:pt idx="184">
                  <c:v>216.62917362879031</c:v>
                </c:pt>
                <c:pt idx="185">
                  <c:v>218.60454828826724</c:v>
                </c:pt>
                <c:pt idx="186">
                  <c:v>220.57696531013903</c:v>
                </c:pt>
                <c:pt idx="187">
                  <c:v>222.5464309589006</c:v>
                </c:pt>
                <c:pt idx="188">
                  <c:v>224.51295147485527</c:v>
                </c:pt>
                <c:pt idx="189">
                  <c:v>226.47653307423849</c:v>
                </c:pt>
                <c:pt idx="190">
                  <c:v>228.43718194934061</c:v>
                </c:pt>
                <c:pt idx="191">
                  <c:v>230.39490426862901</c:v>
                </c:pt>
                <c:pt idx="192">
                  <c:v>232.34970617686935</c:v>
                </c:pt>
                <c:pt idx="193">
                  <c:v>234.30159379524619</c:v>
                </c:pt>
                <c:pt idx="194">
                  <c:v>236.2505732214826</c:v>
                </c:pt>
                <c:pt idx="195">
                  <c:v>238.19665052995919</c:v>
                </c:pt>
                <c:pt idx="196">
                  <c:v>240.13983177183235</c:v>
                </c:pt>
                <c:pt idx="197">
                  <c:v>242.08012297515162</c:v>
                </c:pt>
                <c:pt idx="198">
                  <c:v>244.01753014497649</c:v>
                </c:pt>
                <c:pt idx="199">
                  <c:v>245.95205926349229</c:v>
                </c:pt>
                <c:pt idx="200">
                  <c:v>247.88371629012539</c:v>
                </c:pt>
                <c:pt idx="201">
                  <c:v>267.04278134940603</c:v>
                </c:pt>
                <c:pt idx="202">
                  <c:v>285.91845415997216</c:v>
                </c:pt>
                <c:pt idx="203">
                  <c:v>304.51647953994552</c:v>
                </c:pt>
                <c:pt idx="204">
                  <c:v>322.84238932557327</c:v>
                </c:pt>
                <c:pt idx="205">
                  <c:v>340.90151270487166</c:v>
                </c:pt>
                <c:pt idx="206">
                  <c:v>358.69898592371345</c:v>
                </c:pt>
                <c:pt idx="207">
                  <c:v>376.23976140975299</c:v>
                </c:pt>
                <c:pt idx="208">
                  <c:v>393.52861635578302</c:v>
                </c:pt>
                <c:pt idx="209">
                  <c:v>410.57016080067353</c:v>
                </c:pt>
                <c:pt idx="210">
                  <c:v>427.36884524292645</c:v>
                </c:pt>
                <c:pt idx="211">
                  <c:v>443.92896781904818</c:v>
                </c:pt>
                <c:pt idx="212">
                  <c:v>460.25468107637266</c:v>
                </c:pt>
                <c:pt idx="213">
                  <c:v>476.34999836762898</c:v>
                </c:pt>
                <c:pt idx="214">
                  <c:v>492.21879989241813</c:v>
                </c:pt>
                <c:pt idx="215">
                  <c:v>507.86483840882357</c:v>
                </c:pt>
                <c:pt idx="216">
                  <c:v>523.29174463660877</c:v>
                </c:pt>
                <c:pt idx="217">
                  <c:v>538.50303237183709</c:v>
                </c:pt>
                <c:pt idx="218">
                  <c:v>553.50210333127029</c:v>
                </c:pt>
                <c:pt idx="219">
                  <c:v>568.2922517435461</c:v>
                </c:pt>
                <c:pt idx="220">
                  <c:v>582.87666870289729</c:v>
                </c:pt>
                <c:pt idx="221">
                  <c:v>597.25844630003314</c:v>
                </c:pt>
                <c:pt idx="222">
                  <c:v>611.4405815437608</c:v>
                </c:pt>
                <c:pt idx="223">
                  <c:v>625.42598008596508</c:v>
                </c:pt>
                <c:pt idx="224">
                  <c:v>639.21745976167858</c:v>
                </c:pt>
                <c:pt idx="225">
                  <c:v>652.8177539551649</c:v>
                </c:pt>
                <c:pt idx="226">
                  <c:v>666.22951480218603</c:v>
                </c:pt>
                <c:pt idx="227">
                  <c:v>679.45531623793465</c:v>
                </c:pt>
                <c:pt idx="228">
                  <c:v>692.49765689947606</c:v>
                </c:pt>
                <c:pt idx="229">
                  <c:v>705.35896289095297</c:v>
                </c:pt>
                <c:pt idx="230">
                  <c:v>718.04159041926459</c:v>
                </c:pt>
                <c:pt idx="231">
                  <c:v>730.54782830742647</c:v>
                </c:pt>
                <c:pt idx="232">
                  <c:v>742.87990039235069</c:v>
                </c:pt>
                <c:pt idx="233">
                  <c:v>755.03996781335661</c:v>
                </c:pt>
                <c:pt idx="234">
                  <c:v>767.03013119731804</c:v>
                </c:pt>
                <c:pt idx="235">
                  <c:v>778.8524327459844</c:v>
                </c:pt>
                <c:pt idx="236">
                  <c:v>790.50885823066665</c:v>
                </c:pt>
                <c:pt idx="237">
                  <c:v>802.00133889915753</c:v>
                </c:pt>
                <c:pt idx="238">
                  <c:v>813.33175329945948</c:v>
                </c:pt>
                <c:pt idx="239">
                  <c:v>824.50192902461379</c:v>
                </c:pt>
                <c:pt idx="240">
                  <c:v>835.5136443826683</c:v>
                </c:pt>
                <c:pt idx="241">
                  <c:v>846.36862999557832</c:v>
                </c:pt>
                <c:pt idx="242">
                  <c:v>857.06857033061294</c:v>
                </c:pt>
                <c:pt idx="243">
                  <c:v>867.61510516762803</c:v>
                </c:pt>
                <c:pt idx="244">
                  <c:v>878.00983100537269</c:v>
                </c:pt>
                <c:pt idx="245">
                  <c:v>888.2543024098137</c:v>
                </c:pt>
                <c:pt idx="246">
                  <c:v>898.35003330729091</c:v>
                </c:pt>
                <c:pt idx="247">
                  <c:v>908.29849822515826</c:v>
                </c:pt>
                <c:pt idx="248">
                  <c:v>918.10113348241475</c:v>
                </c:pt>
                <c:pt idx="249">
                  <c:v>927.75933833269187</c:v>
                </c:pt>
                <c:pt idx="250">
                  <c:v>937.27447606183057</c:v>
                </c:pt>
                <c:pt idx="251">
                  <c:v>946.64787504216099</c:v>
                </c:pt>
                <c:pt idx="252">
                  <c:v>955.88082974548161</c:v>
                </c:pt>
                <c:pt idx="253">
                  <c:v>964.97460171662726</c:v>
                </c:pt>
                <c:pt idx="254">
                  <c:v>973.93042050941381</c:v>
                </c:pt>
                <c:pt idx="255">
                  <c:v>982.74948458665347</c:v>
                </c:pt>
                <c:pt idx="256">
                  <c:v>991.43296218584396</c:v>
                </c:pt>
                <c:pt idx="257">
                  <c:v>999.98199215205238</c:v>
                </c:pt>
                <c:pt idx="258">
                  <c:v>1008.3976847394348</c:v>
                </c:pt>
                <c:pt idx="259">
                  <c:v>1016.6811223827584</c:v>
                </c:pt>
                <c:pt idx="260">
                  <c:v>1024.8333604402246</c:v>
                </c:pt>
                <c:pt idx="261">
                  <c:v>1032.8554279088239</c:v>
                </c:pt>
                <c:pt idx="262">
                  <c:v>1040.7483281133927</c:v>
                </c:pt>
                <c:pt idx="263">
                  <c:v>1048.5130393704849</c:v>
                </c:pt>
                <c:pt idx="264">
                  <c:v>1056.1505156281125</c:v>
                </c:pt>
                <c:pt idx="265">
                  <c:v>1063.6616870823639</c:v>
                </c:pt>
                <c:pt idx="266">
                  <c:v>1071.0474607718515</c:v>
                </c:pt>
                <c:pt idx="267">
                  <c:v>1078.3087211509057</c:v>
                </c:pt>
                <c:pt idx="268">
                  <c:v>1085.4463306423743</c:v>
                </c:pt>
                <c:pt idx="269">
                  <c:v>1092.461130170861</c:v>
                </c:pt>
                <c:pt idx="270">
                  <c:v>1099.3539396771851</c:v>
                </c:pt>
                <c:pt idx="271">
                  <c:v>1106.125558614817</c:v>
                </c:pt>
                <c:pt idx="272">
                  <c:v>1112.7767664290061</c:v>
                </c:pt>
                <c:pt idx="273">
                  <c:v>1119.3083230192838</c:v>
                </c:pt>
                <c:pt idx="274">
                  <c:v>1125.7209691859989</c:v>
                </c:pt>
                <c:pt idx="275">
                  <c:v>1132.0154270615096</c:v>
                </c:pt>
                <c:pt idx="276">
                  <c:v>1138.1924005266312</c:v>
                </c:pt>
                <c:pt idx="277">
                  <c:v>1144.2525756129128</c:v>
                </c:pt>
                <c:pt idx="278">
                  <c:v>1150.1966208912945</c:v>
                </c:pt>
                <c:pt idx="279">
                  <c:v>1156.0251878476702</c:v>
                </c:pt>
                <c:pt idx="280">
                  <c:v>1161.7389112458641</c:v>
                </c:pt>
                <c:pt idx="281">
                  <c:v>1167.3384094785101</c:v>
                </c:pt>
                <c:pt idx="282">
                  <c:v>1172.8242849062999</c:v>
                </c:pt>
                <c:pt idx="283">
                  <c:v>1178.1971241860556</c:v>
                </c:pt>
                <c:pt idx="284">
                  <c:v>1183.4574985880633</c:v>
                </c:pt>
                <c:pt idx="285">
                  <c:v>1188.6059643030919</c:v>
                </c:pt>
                <c:pt idx="286">
                  <c:v>1193.6430627395059</c:v>
                </c:pt>
                <c:pt idx="287">
                  <c:v>1198.5693208108753</c:v>
                </c:pt>
                <c:pt idx="288">
                  <c:v>1203.3852512144686</c:v>
                </c:pt>
                <c:pt idx="289">
                  <c:v>1208.0913527010125</c:v>
                </c:pt>
                <c:pt idx="290">
                  <c:v>1212.6881103360915</c:v>
                </c:pt>
                <c:pt idx="291">
                  <c:v>1217.1759957535551</c:v>
                </c:pt>
                <c:pt idx="292">
                  <c:v>1221.5554674012972</c:v>
                </c:pt>
                <c:pt idx="293">
                  <c:v>1225.826970779771</c:v>
                </c:pt>
                <c:pt idx="294">
                  <c:v>1229.9909386735987</c:v>
                </c:pt>
                <c:pt idx="295">
                  <c:v>1234.0477913766392</c:v>
                </c:pt>
                <c:pt idx="296">
                  <c:v>1237.9979369108812</c:v>
                </c:pt>
                <c:pt idx="297">
                  <c:v>1241.8417712395324</c:v>
                </c:pt>
                <c:pt idx="298">
                  <c:v>1245.579678474684</c:v>
                </c:pt>
                <c:pt idx="299">
                  <c:v>1249.2120310799421</c:v>
                </c:pt>
                <c:pt idx="300">
                  <c:v>1252.7391900684295</c:v>
                </c:pt>
                <c:pt idx="301">
                  <c:v>1256.1615051965794</c:v>
                </c:pt>
                <c:pt idx="302">
                  <c:v>1259.4793151541624</c:v>
                </c:pt>
                <c:pt idx="303">
                  <c:v>1262.6929477510121</c:v>
                </c:pt>
                <c:pt idx="304">
                  <c:v>1265.8027201009429</c:v>
                </c:pt>
                <c:pt idx="305">
                  <c:v>1268.8089388033895</c:v>
                </c:pt>
                <c:pt idx="306">
                  <c:v>1271.7119001233311</c:v>
                </c:pt>
                <c:pt idx="307">
                  <c:v>1274.5118901701101</c:v>
                </c:pt>
                <c:pt idx="308">
                  <c:v>1277.209185075804</c:v>
                </c:pt>
                <c:pt idx="309">
                  <c:v>1279.8040511738641</c:v>
                </c:pt>
                <c:pt idx="310">
                  <c:v>1282.2967451787956</c:v>
                </c:pt>
                <c:pt idx="311">
                  <c:v>1284.6875143677248</c:v>
                </c:pt>
                <c:pt idx="312">
                  <c:v>1286.9765967647702</c:v>
                </c:pt>
                <c:pt idx="313">
                  <c:v>1289.1642213292193</c:v>
                </c:pt>
                <c:pt idx="314">
                  <c:v>1291.2506081485956</c:v>
                </c:pt>
                <c:pt idx="315">
                  <c:v>1293.2359686377911</c:v>
                </c:pt>
                <c:pt idx="316">
                  <c:v>1295.1205057455368</c:v>
                </c:pt>
                <c:pt idx="317">
                  <c:v>1296.9044141695706</c:v>
                </c:pt>
                <c:pt idx="318">
                  <c:v>1298.5878805819525</c:v>
                </c:pt>
                <c:pt idx="319">
                  <c:v>1300.1710838660608</c:v>
                </c:pt>
                <c:pt idx="320">
                  <c:v>1301.6541953668641</c:v>
                </c:pt>
                <c:pt idx="321">
                  <c:v>1303.0373791561117</c:v>
                </c:pt>
                <c:pt idx="322">
                  <c:v>1304.3207923140974</c:v>
                </c:pt>
                <c:pt idx="323">
                  <c:v>1305.5045852296269</c:v>
                </c:pt>
                <c:pt idx="324">
                  <c:v>1306.5889019197398</c:v>
                </c:pt>
                <c:pt idx="325">
                  <c:v>1307.5738803706017</c:v>
                </c:pt>
                <c:pt idx="326">
                  <c:v>1308.4596529007677</c:v>
                </c:pt>
                <c:pt idx="327">
                  <c:v>1309.2463465477244</c:v>
                </c:pt>
                <c:pt idx="328">
                  <c:v>1309.9340834782438</c:v>
                </c:pt>
                <c:pt idx="329">
                  <c:v>1310.5229814226036</c:v>
                </c:pt>
                <c:pt idx="330">
                  <c:v>1311.0131541321896</c:v>
                </c:pt>
                <c:pt idx="331">
                  <c:v>1311.4047118593642</c:v>
                </c:pt>
                <c:pt idx="332">
                  <c:v>1311.6977618578248</c:v>
                </c:pt>
                <c:pt idx="333">
                  <c:v>1311.8924089009854</c:v>
                </c:pt>
                <c:pt idx="334">
                  <c:v>1311.9887558152445</c:v>
                </c:pt>
                <c:pt idx="335">
                  <c:v>1311.9869040243964</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432A-49A9-9499-7ED3E32DDB07}"/>
            </c:ext>
          </c:extLst>
        </c:ser>
        <c:ser>
          <c:idx val="6"/>
          <c:order val="5"/>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Trajecto!$D$158</c:f>
              <c:numCache>
                <c:formatCode>0</c:formatCode>
                <c:ptCount val="1"/>
                <c:pt idx="0">
                  <c:v>106.62598543093542</c:v>
                </c:pt>
              </c:numCache>
            </c:numRef>
          </c:xVal>
          <c:yVal>
            <c:numRef>
              <c:f>Trajecto!$C$158</c:f>
              <c:numCache>
                <c:formatCode>0</c:formatCode>
                <c:ptCount val="1"/>
                <c:pt idx="0">
                  <c:v>655.94347705046448</c:v>
                </c:pt>
              </c:numCache>
            </c:numRef>
          </c:yVal>
          <c:smooth val="0"/>
          <c:extLst>
            <c:ext xmlns:c16="http://schemas.microsoft.com/office/drawing/2014/chart" uri="{C3380CC4-5D6E-409C-BE32-E72D297353CC}">
              <c16:uniqueId val="{00000006-432A-49A9-9499-7ED3E32DDB07}"/>
            </c:ext>
          </c:extLst>
        </c:ser>
        <c:ser>
          <c:idx val="7"/>
          <c:order val="6"/>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Trajecto!$D$159</c:f>
              <c:numCache>
                <c:formatCode>0</c:formatCode>
                <c:ptCount val="1"/>
                <c:pt idx="0">
                  <c:v>644.44069099672674</c:v>
                </c:pt>
              </c:numCache>
            </c:numRef>
          </c:xVal>
          <c:yVal>
            <c:numRef>
              <c:f>Trajecto!$C$159</c:f>
              <c:numCache>
                <c:formatCode>0</c:formatCode>
                <c:ptCount val="1"/>
                <c:pt idx="0">
                  <c:v>655.99437790762227</c:v>
                </c:pt>
              </c:numCache>
            </c:numRef>
          </c:yVal>
          <c:smooth val="0"/>
          <c:extLst>
            <c:ext xmlns:c16="http://schemas.microsoft.com/office/drawing/2014/chart" uri="{C3380CC4-5D6E-409C-BE32-E72D297353CC}">
              <c16:uniqueId val="{00000007-432A-49A9-9499-7ED3E32DDB07}"/>
            </c:ext>
          </c:extLst>
        </c:ser>
        <c:ser>
          <c:idx val="8"/>
          <c:order val="7"/>
          <c:tx>
            <c:strRef>
              <c:f>Trajecto!$D$161</c:f>
              <c:strCache>
                <c:ptCount val="1"/>
                <c:pt idx="0">
                  <c:v>Arc de triomphe</c:v>
                </c:pt>
              </c:strCache>
            </c:strRef>
          </c:tx>
          <c:spPr>
            <a:ln>
              <a:solidFill>
                <a:srgbClr val="C0C0C0"/>
              </a:solidFill>
            </a:ln>
          </c:spPr>
          <c:marker>
            <c:symbol val="none"/>
          </c:marker>
          <c:dLbls>
            <c:dLbl>
              <c:idx val="8"/>
              <c:tx>
                <c:strRef>
                  <c:f>Trajecto!$D$161</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{A8F189D6-BD5B-4699-9A71-2ADB2B2A7A82}</c15:txfldGUID>
                      <c15:f>Trajecto!$D$161</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Trajecto!$D$162:$D$177</c:f>
              <c:numCache>
                <c:formatCode>0</c:formatCode>
                <c:ptCount val="16"/>
                <c:pt idx="0">
                  <c:v>421.9129981473655</c:v>
                </c:pt>
                <c:pt idx="1">
                  <c:v>444.9129981473655</c:v>
                </c:pt>
                <c:pt idx="2">
                  <c:v>444.9129981473655</c:v>
                </c:pt>
                <c:pt idx="3">
                  <c:v>421.9129981473655</c:v>
                </c:pt>
                <c:pt idx="4">
                  <c:v>444.9129981473655</c:v>
                </c:pt>
                <c:pt idx="5">
                  <c:v>444.9129981473655</c:v>
                </c:pt>
                <c:pt idx="6">
                  <c:v>429.9129981473655</c:v>
                </c:pt>
                <c:pt idx="7">
                  <c:v>429.9129981473655</c:v>
                </c:pt>
                <c:pt idx="8">
                  <c:v>444.9129981473655</c:v>
                </c:pt>
                <c:pt idx="9">
                  <c:v>429.9129981473655</c:v>
                </c:pt>
                <c:pt idx="10">
                  <c:v>429.51299814736552</c:v>
                </c:pt>
                <c:pt idx="11">
                  <c:v>428.71299814736551</c:v>
                </c:pt>
                <c:pt idx="12">
                  <c:v>427.9129981473655</c:v>
                </c:pt>
                <c:pt idx="13">
                  <c:v>426.9129981473655</c:v>
                </c:pt>
                <c:pt idx="14">
                  <c:v>425.71299814736551</c:v>
                </c:pt>
                <c:pt idx="15">
                  <c:v>421.9129981473655</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432A-49A9-9499-7ED3E32DDB07}"/>
            </c:ext>
          </c:extLst>
        </c:ser>
        <c:ser>
          <c:idx val="9"/>
          <c:order val="8"/>
          <c:tx>
            <c:strRef>
              <c:f>Trajecto!$F$162</c:f>
              <c:strCache>
                <c:ptCount val="1"/>
                <c:pt idx="0">
                  <c:v>Arc de triomphe</c:v>
                </c:pt>
              </c:strCache>
            </c:strRef>
          </c:tx>
          <c:spPr>
            <a:ln>
              <a:solidFill>
                <a:srgbClr val="C0C0C0"/>
              </a:solidFill>
            </a:ln>
          </c:spPr>
          <c:marker>
            <c:symbol val="none"/>
          </c:marker>
          <c:xVal>
            <c:numRef>
              <c:f>Trajecto!$F$163:$F$178</c:f>
              <c:numCache>
                <c:formatCode>0</c:formatCode>
                <c:ptCount val="16"/>
                <c:pt idx="0">
                  <c:v>421.9129981473655</c:v>
                </c:pt>
                <c:pt idx="1">
                  <c:v>398.9129981473655</c:v>
                </c:pt>
                <c:pt idx="2">
                  <c:v>398.9129981473655</c:v>
                </c:pt>
                <c:pt idx="3">
                  <c:v>421.9129981473655</c:v>
                </c:pt>
                <c:pt idx="4">
                  <c:v>398.9129981473655</c:v>
                </c:pt>
                <c:pt idx="5">
                  <c:v>398.9129981473655</c:v>
                </c:pt>
                <c:pt idx="6">
                  <c:v>413.9129981473655</c:v>
                </c:pt>
                <c:pt idx="7">
                  <c:v>413.9129981473655</c:v>
                </c:pt>
                <c:pt idx="8">
                  <c:v>398.9129981473655</c:v>
                </c:pt>
                <c:pt idx="9">
                  <c:v>413.9129981473655</c:v>
                </c:pt>
                <c:pt idx="10">
                  <c:v>414.31299814736548</c:v>
                </c:pt>
                <c:pt idx="11">
                  <c:v>415.11299814736549</c:v>
                </c:pt>
                <c:pt idx="12">
                  <c:v>415.9129981473655</c:v>
                </c:pt>
                <c:pt idx="13">
                  <c:v>416.9129981473655</c:v>
                </c:pt>
                <c:pt idx="14">
                  <c:v>418.11299814736549</c:v>
                </c:pt>
                <c:pt idx="15">
                  <c:v>421.9129981473655</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432A-49A9-9499-7ED3E32DDB07}"/>
            </c:ext>
          </c:extLst>
        </c:ser>
        <c:ser>
          <c:idx val="10"/>
          <c:order val="9"/>
          <c:tx>
            <c:strRef>
              <c:f>Trajecto!$D$179</c:f>
              <c:strCache>
                <c:ptCount val="1"/>
                <c:pt idx="0">
                  <c:v>Tour Eiffel</c:v>
                </c:pt>
              </c:strCache>
            </c:strRef>
          </c:tx>
          <c:spPr>
            <a:ln>
              <a:solidFill>
                <a:srgbClr val="C0C0C0"/>
              </a:solidFill>
            </a:ln>
          </c:spPr>
          <c:marker>
            <c:symbol val="none"/>
          </c:marker>
          <c:dLbls>
            <c:dLbl>
              <c:idx val="6"/>
              <c:tx>
                <c:strRef>
                  <c:f>Trajecto!$D$179</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{1FF1052F-5894-41FA-85A8-8E90288A3E78}</c15:txfldGUID>
                      <c15:f>Trajecto!$D$179</c15:f>
                      <c15:dlblFieldTableCache>
                        <c:ptCount val="1"/>
                        <c:pt idx="0">
                          <c:v>Tour Eiffel</c:v>
                        </c:pt>
                      </c15:dlblFieldTableCache>
                    </c15:dlblFTEntry>
                  </c15:dlblFieldTable>
                  <c15:showDataLabelsRange val="0"/>
                </c:ext>
                <c:ext xmlns:c16="http://schemas.microsoft.com/office/drawing/2014/chart" uri="{C3380CC4-5D6E-409C-BE32-E72D297353CC}">
                  <c16:uniqueId val="{0000000B-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Trajecto!$D$180:$D$196</c:f>
              <c:numCache>
                <c:formatCode>0</c:formatCode>
                <c:ptCount val="17"/>
                <c:pt idx="0">
                  <c:v>421.9129981473655</c:v>
                </c:pt>
                <c:pt idx="1">
                  <c:v>421.9129981473655</c:v>
                </c:pt>
                <c:pt idx="2">
                  <c:v>431.9129981473655</c:v>
                </c:pt>
                <c:pt idx="3">
                  <c:v>421.9129981473655</c:v>
                </c:pt>
                <c:pt idx="4">
                  <c:v>431.9129981473655</c:v>
                </c:pt>
                <c:pt idx="5">
                  <c:v>434.9129981473655</c:v>
                </c:pt>
                <c:pt idx="6">
                  <c:v>438.9129981473655</c:v>
                </c:pt>
                <c:pt idx="7">
                  <c:v>441.9129981473655</c:v>
                </c:pt>
                <c:pt idx="8">
                  <c:v>446.9129981473655</c:v>
                </c:pt>
                <c:pt idx="9">
                  <c:v>451.9129981473655</c:v>
                </c:pt>
                <c:pt idx="10">
                  <c:v>457.9129981473655</c:v>
                </c:pt>
                <c:pt idx="11">
                  <c:v>469.9129981473655</c:v>
                </c:pt>
                <c:pt idx="12">
                  <c:v>483.9129981473655</c:v>
                </c:pt>
                <c:pt idx="13">
                  <c:v>458.9129981473655</c:v>
                </c:pt>
                <c:pt idx="14">
                  <c:v>451.9129981473655</c:v>
                </c:pt>
                <c:pt idx="15">
                  <c:v>436.9129981473655</c:v>
                </c:pt>
                <c:pt idx="16">
                  <c:v>421.9129981473655</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432A-49A9-9499-7ED3E32DDB07}"/>
            </c:ext>
          </c:extLst>
        </c:ser>
        <c:ser>
          <c:idx val="11"/>
          <c:order val="10"/>
          <c:tx>
            <c:strRef>
              <c:f>Trajecto!$F$180</c:f>
              <c:strCache>
                <c:ptCount val="1"/>
                <c:pt idx="0">
                  <c:v>Tour Eiffel</c:v>
                </c:pt>
              </c:strCache>
            </c:strRef>
          </c:tx>
          <c:spPr>
            <a:ln>
              <a:solidFill>
                <a:srgbClr val="C0C0C0"/>
              </a:solidFill>
            </a:ln>
          </c:spPr>
          <c:marker>
            <c:symbol val="none"/>
          </c:marker>
          <c:xVal>
            <c:numRef>
              <c:f>Trajecto!$F$181:$F$197</c:f>
              <c:numCache>
                <c:formatCode>0</c:formatCode>
                <c:ptCount val="17"/>
                <c:pt idx="0">
                  <c:v>421.9129981473655</c:v>
                </c:pt>
                <c:pt idx="1">
                  <c:v>421.9129981473655</c:v>
                </c:pt>
                <c:pt idx="2">
                  <c:v>411.9129981473655</c:v>
                </c:pt>
                <c:pt idx="3">
                  <c:v>421.9129981473655</c:v>
                </c:pt>
                <c:pt idx="4">
                  <c:v>411.9129981473655</c:v>
                </c:pt>
                <c:pt idx="5">
                  <c:v>408.9129981473655</c:v>
                </c:pt>
                <c:pt idx="6">
                  <c:v>404.9129981473655</c:v>
                </c:pt>
                <c:pt idx="7">
                  <c:v>401.9129981473655</c:v>
                </c:pt>
                <c:pt idx="8">
                  <c:v>396.9129981473655</c:v>
                </c:pt>
                <c:pt idx="9">
                  <c:v>391.9129981473655</c:v>
                </c:pt>
                <c:pt idx="10">
                  <c:v>385.9129981473655</c:v>
                </c:pt>
                <c:pt idx="11">
                  <c:v>373.9129981473655</c:v>
                </c:pt>
                <c:pt idx="12">
                  <c:v>359.9129981473655</c:v>
                </c:pt>
                <c:pt idx="13">
                  <c:v>384.9129981473655</c:v>
                </c:pt>
                <c:pt idx="14">
                  <c:v>391.9129981473655</c:v>
                </c:pt>
                <c:pt idx="15">
                  <c:v>406.9129981473655</c:v>
                </c:pt>
                <c:pt idx="16">
                  <c:v>421.9129981473655</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432A-49A9-9499-7ED3E32DDB07}"/>
            </c:ext>
          </c:extLst>
        </c:ser>
        <c:ser>
          <c:idx val="12"/>
          <c:order val="11"/>
          <c:tx>
            <c:strRef>
              <c:f>Trajecto!$D$179</c:f>
              <c:strCache>
                <c:ptCount val="1"/>
                <c:pt idx="0">
                  <c:v>Tour Eiffel</c:v>
                </c:pt>
              </c:strCache>
            </c:strRef>
          </c:tx>
          <c:spPr>
            <a:ln>
              <a:solidFill>
                <a:srgbClr val="C0C0C0"/>
              </a:solidFill>
            </a:ln>
          </c:spPr>
          <c:marker>
            <c:symbol val="none"/>
          </c:marker>
          <c:xVal>
            <c:numRef>
              <c:f>Trajecto!$D$197:$D$200</c:f>
              <c:numCache>
                <c:formatCode>0</c:formatCode>
                <c:ptCount val="4"/>
                <c:pt idx="0">
                  <c:v>421.9129981473655</c:v>
                </c:pt>
                <c:pt idx="1">
                  <c:v>438.9129981473655</c:v>
                </c:pt>
                <c:pt idx="2">
                  <c:v>432.9129981473655</c:v>
                </c:pt>
                <c:pt idx="3">
                  <c:v>421.9129981473655</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432A-49A9-9499-7ED3E32DDB07}"/>
            </c:ext>
          </c:extLst>
        </c:ser>
        <c:ser>
          <c:idx val="13"/>
          <c:order val="12"/>
          <c:tx>
            <c:strRef>
              <c:f>Trajecto!$F$180</c:f>
              <c:strCache>
                <c:ptCount val="1"/>
                <c:pt idx="0">
                  <c:v>Tour Eiffel</c:v>
                </c:pt>
              </c:strCache>
            </c:strRef>
          </c:tx>
          <c:spPr>
            <a:ln>
              <a:solidFill>
                <a:srgbClr val="C0C0C0"/>
              </a:solidFill>
            </a:ln>
          </c:spPr>
          <c:marker>
            <c:symbol val="none"/>
          </c:marker>
          <c:xVal>
            <c:numRef>
              <c:f>Trajecto!$F$198:$F$201</c:f>
              <c:numCache>
                <c:formatCode>0</c:formatCode>
                <c:ptCount val="4"/>
                <c:pt idx="0">
                  <c:v>421.9129981473655</c:v>
                </c:pt>
                <c:pt idx="1">
                  <c:v>404.9129981473655</c:v>
                </c:pt>
                <c:pt idx="2">
                  <c:v>410.9129981473655</c:v>
                </c:pt>
                <c:pt idx="3">
                  <c:v>421.9129981473655</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432A-49A9-9499-7ED3E32DDB07}"/>
            </c:ext>
          </c:extLst>
        </c:ser>
        <c:ser>
          <c:idx val="3"/>
          <c:order val="13"/>
          <c:tx>
            <c:strRef>
              <c:f>Trajecto!$B$109</c:f>
              <c:strCache>
                <c:ptCount val="1"/>
                <c:pt idx="0">
                  <c:v>Fusée sous parachute</c:v>
                </c:pt>
              </c:strCache>
            </c:strRef>
          </c:tx>
          <c:spPr>
            <a:ln>
              <a:solidFill>
                <a:srgbClr val="008000"/>
              </a:solidFill>
            </a:ln>
          </c:spPr>
          <c:marker>
            <c:symbol val="none"/>
          </c:marker>
          <c:dLbls>
            <c:dLbl>
              <c:idx val="1"/>
              <c:tx>
                <c:strRef>
                  <c:f>Trajecto!$B$109</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{543E3F2E-959D-4DCC-8580-E10D3E7749C9}</c15:txfldGUID>
                      <c15:f>Trajecto!$B$109</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Trajecto!$B$124:$B$130</c:f>
              <c:numCache>
                <c:formatCode>0</c:formatCode>
                <c:ptCount val="7"/>
                <c:pt idx="0">
                  <c:v>426.50394172374166</c:v>
                </c:pt>
                <c:pt idx="1">
                  <c:v>426.50394172374166</c:v>
                </c:pt>
                <c:pt idx="2">
                  <c:v>426.50394172374166</c:v>
                </c:pt>
                <c:pt idx="3">
                  <c:v>459.30111557626486</c:v>
                </c:pt>
                <c:pt idx="4">
                  <c:v>426.50394172374166</c:v>
                </c:pt>
                <c:pt idx="5">
                  <c:v>393.70676787121846</c:v>
                </c:pt>
                <c:pt idx="6">
                  <c:v>426.50394172374166</c:v>
                </c:pt>
              </c:numCache>
            </c:numRef>
          </c:xVal>
          <c:yVal>
            <c:numRef>
              <c:f>Trajecto!$C$124:$C$130</c:f>
              <c:numCache>
                <c:formatCode>0</c:formatCode>
                <c:ptCount val="7"/>
                <c:pt idx="0">
                  <c:v>1311.886954100929</c:v>
                </c:pt>
                <c:pt idx="1">
                  <c:v>655.94347705046448</c:v>
                </c:pt>
                <c:pt idx="2">
                  <c:v>0</c:v>
                </c:pt>
                <c:pt idx="3">
                  <c:v>65.594347705046445</c:v>
                </c:pt>
                <c:pt idx="4">
                  <c:v>0</c:v>
                </c:pt>
                <c:pt idx="5">
                  <c:v>65.594347705046445</c:v>
                </c:pt>
                <c:pt idx="6" formatCode="General">
                  <c:v>0</c:v>
                </c:pt>
              </c:numCache>
            </c:numRef>
          </c:yVal>
          <c:smooth val="0"/>
          <c:extLst>
            <c:ext xmlns:c16="http://schemas.microsoft.com/office/drawing/2014/chart" uri="{C3380CC4-5D6E-409C-BE32-E72D297353CC}">
              <c16:uniqueId val="{00000011-432A-49A9-9499-7ED3E32DDB07}"/>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Trajecto!$B$112</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Trajecto!$B$114</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Trajecto!$B$121</c:f>
              <c:numCache>
                <c:formatCode>0</c:formatCode>
                <c:ptCount val="1"/>
                <c:pt idx="0">
                  <c:v>1311.9887558152445</c:v>
                </c:pt>
              </c:numCache>
            </c:numRef>
          </c:yVal>
          <c:smooth val="0"/>
          <c:extLst>
            <c:ext xmlns:c16="http://schemas.microsoft.com/office/drawing/2014/chart" uri="{C3380CC4-5D6E-409C-BE32-E72D297353CC}">
              <c16:uniqueId val="{00000000-4C7F-469F-ADED-1B0B28F452E1}"/>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1.0000000000000007</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2.0000000000000013</c:v>
                </c:pt>
                <c:pt idx="201">
                  <c:v>#N/A</c:v>
                </c:pt>
                <c:pt idx="202">
                  <c:v>#N/A</c:v>
                </c:pt>
                <c:pt idx="203">
                  <c:v>#N/A</c:v>
                </c:pt>
                <c:pt idx="204">
                  <c:v>#N/A</c:v>
                </c:pt>
                <c:pt idx="205">
                  <c:v>#N/A</c:v>
                </c:pt>
                <c:pt idx="206">
                  <c:v>#N/A</c:v>
                </c:pt>
                <c:pt idx="207">
                  <c:v>#N/A</c:v>
                </c:pt>
                <c:pt idx="208">
                  <c:v>#N/A</c:v>
                </c:pt>
                <c:pt idx="209">
                  <c:v>#N/A</c:v>
                </c:pt>
                <c:pt idx="210">
                  <c:v>3.0000000000000022</c:v>
                </c:pt>
                <c:pt idx="211">
                  <c:v>#N/A</c:v>
                </c:pt>
                <c:pt idx="212">
                  <c:v>#N/A</c:v>
                </c:pt>
                <c:pt idx="213">
                  <c:v>#N/A</c:v>
                </c:pt>
                <c:pt idx="214">
                  <c:v>#N/A</c:v>
                </c:pt>
                <c:pt idx="215">
                  <c:v>#N/A</c:v>
                </c:pt>
                <c:pt idx="216">
                  <c:v>#N/A</c:v>
                </c:pt>
                <c:pt idx="217">
                  <c:v>#N/A</c:v>
                </c:pt>
                <c:pt idx="218">
                  <c:v>#N/A</c:v>
                </c:pt>
                <c:pt idx="219">
                  <c:v>#N/A</c:v>
                </c:pt>
                <c:pt idx="220">
                  <c:v>4.0000000000000027</c:v>
                </c:pt>
                <c:pt idx="221">
                  <c:v>#N/A</c:v>
                </c:pt>
                <c:pt idx="222">
                  <c:v>#N/A</c:v>
                </c:pt>
                <c:pt idx="223">
                  <c:v>#N/A</c:v>
                </c:pt>
                <c:pt idx="224">
                  <c:v>#N/A</c:v>
                </c:pt>
                <c:pt idx="225">
                  <c:v>#N/A</c:v>
                </c:pt>
                <c:pt idx="226">
                  <c:v>#N/A</c:v>
                </c:pt>
                <c:pt idx="227">
                  <c:v>#N/A</c:v>
                </c:pt>
                <c:pt idx="228">
                  <c:v>#N/A</c:v>
                </c:pt>
                <c:pt idx="229">
                  <c:v>#N/A</c:v>
                </c:pt>
                <c:pt idx="230">
                  <c:v>4.9999999999999991</c:v>
                </c:pt>
                <c:pt idx="231">
                  <c:v>#N/A</c:v>
                </c:pt>
                <c:pt idx="232">
                  <c:v>#N/A</c:v>
                </c:pt>
                <c:pt idx="233">
                  <c:v>#N/A</c:v>
                </c:pt>
                <c:pt idx="234">
                  <c:v>#N/A</c:v>
                </c:pt>
                <c:pt idx="235">
                  <c:v>#N/A</c:v>
                </c:pt>
                <c:pt idx="236">
                  <c:v>#N/A</c:v>
                </c:pt>
                <c:pt idx="237">
                  <c:v>#N/A</c:v>
                </c:pt>
                <c:pt idx="238">
                  <c:v>#N/A</c:v>
                </c:pt>
                <c:pt idx="239">
                  <c:v>#N/A</c:v>
                </c:pt>
                <c:pt idx="240">
                  <c:v>5.9999999999999956</c:v>
                </c:pt>
                <c:pt idx="241">
                  <c:v>#N/A</c:v>
                </c:pt>
                <c:pt idx="242">
                  <c:v>#N/A</c:v>
                </c:pt>
                <c:pt idx="243">
                  <c:v>#N/A</c:v>
                </c:pt>
                <c:pt idx="244">
                  <c:v>#N/A</c:v>
                </c:pt>
                <c:pt idx="245">
                  <c:v>#N/A</c:v>
                </c:pt>
                <c:pt idx="246">
                  <c:v>#N/A</c:v>
                </c:pt>
                <c:pt idx="247">
                  <c:v>#N/A</c:v>
                </c:pt>
                <c:pt idx="248">
                  <c:v>#N/A</c:v>
                </c:pt>
                <c:pt idx="249">
                  <c:v>#N/A</c:v>
                </c:pt>
                <c:pt idx="250">
                  <c:v>6.999999999999992</c:v>
                </c:pt>
                <c:pt idx="251">
                  <c:v>#N/A</c:v>
                </c:pt>
                <c:pt idx="252">
                  <c:v>#N/A</c:v>
                </c:pt>
                <c:pt idx="253">
                  <c:v>#N/A</c:v>
                </c:pt>
                <c:pt idx="254">
                  <c:v>#N/A</c:v>
                </c:pt>
                <c:pt idx="255">
                  <c:v>#N/A</c:v>
                </c:pt>
                <c:pt idx="256">
                  <c:v>#N/A</c:v>
                </c:pt>
                <c:pt idx="257">
                  <c:v>#N/A</c:v>
                </c:pt>
                <c:pt idx="258">
                  <c:v>#N/A</c:v>
                </c:pt>
                <c:pt idx="259">
                  <c:v>#N/A</c:v>
                </c:pt>
                <c:pt idx="260">
                  <c:v>7.9999999999999885</c:v>
                </c:pt>
                <c:pt idx="261">
                  <c:v>#N/A</c:v>
                </c:pt>
                <c:pt idx="262">
                  <c:v>#N/A</c:v>
                </c:pt>
                <c:pt idx="263">
                  <c:v>#N/A</c:v>
                </c:pt>
                <c:pt idx="264">
                  <c:v>#N/A</c:v>
                </c:pt>
                <c:pt idx="265">
                  <c:v>#N/A</c:v>
                </c:pt>
                <c:pt idx="266">
                  <c:v>#N/A</c:v>
                </c:pt>
                <c:pt idx="267">
                  <c:v>#N/A</c:v>
                </c:pt>
                <c:pt idx="268">
                  <c:v>#N/A</c:v>
                </c:pt>
                <c:pt idx="269">
                  <c:v>#N/A</c:v>
                </c:pt>
                <c:pt idx="270">
                  <c:v>8.9999999999999858</c:v>
                </c:pt>
                <c:pt idx="271">
                  <c:v>#N/A</c:v>
                </c:pt>
                <c:pt idx="272">
                  <c:v>#N/A</c:v>
                </c:pt>
                <c:pt idx="273">
                  <c:v>#N/A</c:v>
                </c:pt>
                <c:pt idx="274">
                  <c:v>#N/A</c:v>
                </c:pt>
                <c:pt idx="275">
                  <c:v>#N/A</c:v>
                </c:pt>
                <c:pt idx="276">
                  <c:v>#N/A</c:v>
                </c:pt>
                <c:pt idx="277">
                  <c:v>#N/A</c:v>
                </c:pt>
                <c:pt idx="278">
                  <c:v>#N/A</c:v>
                </c:pt>
                <c:pt idx="279">
                  <c:v>#N/A</c:v>
                </c:pt>
                <c:pt idx="280">
                  <c:v>9.9999999999999822</c:v>
                </c:pt>
                <c:pt idx="281">
                  <c:v>#N/A</c:v>
                </c:pt>
                <c:pt idx="282">
                  <c:v>#N/A</c:v>
                </c:pt>
                <c:pt idx="283">
                  <c:v>#N/A</c:v>
                </c:pt>
                <c:pt idx="284">
                  <c:v>#N/A</c:v>
                </c:pt>
                <c:pt idx="285">
                  <c:v>#N/A</c:v>
                </c:pt>
                <c:pt idx="286">
                  <c:v>#N/A</c:v>
                </c:pt>
                <c:pt idx="287">
                  <c:v>#N/A</c:v>
                </c:pt>
                <c:pt idx="288">
                  <c:v>#N/A</c:v>
                </c:pt>
                <c:pt idx="289">
                  <c:v>#N/A</c:v>
                </c:pt>
                <c:pt idx="290">
                  <c:v>10.999999999999979</c:v>
                </c:pt>
                <c:pt idx="291">
                  <c:v>#N/A</c:v>
                </c:pt>
                <c:pt idx="292">
                  <c:v>#N/A</c:v>
                </c:pt>
                <c:pt idx="293">
                  <c:v>#N/A</c:v>
                </c:pt>
                <c:pt idx="294">
                  <c:v>#N/A</c:v>
                </c:pt>
                <c:pt idx="295">
                  <c:v>#N/A</c:v>
                </c:pt>
                <c:pt idx="296">
                  <c:v>#N/A</c:v>
                </c:pt>
                <c:pt idx="297">
                  <c:v>#N/A</c:v>
                </c:pt>
                <c:pt idx="298">
                  <c:v>#N/A</c:v>
                </c:pt>
                <c:pt idx="299">
                  <c:v>#N/A</c:v>
                </c:pt>
                <c:pt idx="300">
                  <c:v>11.999999999999975</c:v>
                </c:pt>
                <c:pt idx="301">
                  <c:v>#N/A</c:v>
                </c:pt>
                <c:pt idx="302">
                  <c:v>#N/A</c:v>
                </c:pt>
                <c:pt idx="303">
                  <c:v>#N/A</c:v>
                </c:pt>
                <c:pt idx="304">
                  <c:v>#N/A</c:v>
                </c:pt>
                <c:pt idx="305">
                  <c:v>#N/A</c:v>
                </c:pt>
                <c:pt idx="306">
                  <c:v>#N/A</c:v>
                </c:pt>
                <c:pt idx="307">
                  <c:v>#N/A</c:v>
                </c:pt>
                <c:pt idx="308">
                  <c:v>#N/A</c:v>
                </c:pt>
                <c:pt idx="309">
                  <c:v>#N/A</c:v>
                </c:pt>
                <c:pt idx="310">
                  <c:v>12.999999999999972</c:v>
                </c:pt>
                <c:pt idx="311">
                  <c:v>#N/A</c:v>
                </c:pt>
                <c:pt idx="312">
                  <c:v>#N/A</c:v>
                </c:pt>
                <c:pt idx="313">
                  <c:v>#N/A</c:v>
                </c:pt>
                <c:pt idx="314">
                  <c:v>#N/A</c:v>
                </c:pt>
                <c:pt idx="315">
                  <c:v>#N/A</c:v>
                </c:pt>
                <c:pt idx="316">
                  <c:v>#N/A</c:v>
                </c:pt>
                <c:pt idx="317">
                  <c:v>#N/A</c:v>
                </c:pt>
                <c:pt idx="318">
                  <c:v>#N/A</c:v>
                </c:pt>
                <c:pt idx="319">
                  <c:v>#N/A</c:v>
                </c:pt>
                <c:pt idx="320">
                  <c:v>13.999999999999968</c:v>
                </c:pt>
                <c:pt idx="321">
                  <c:v>#N/A</c:v>
                </c:pt>
                <c:pt idx="322">
                  <c:v>#N/A</c:v>
                </c:pt>
                <c:pt idx="323">
                  <c:v>#N/A</c:v>
                </c:pt>
                <c:pt idx="324">
                  <c:v>#N/A</c:v>
                </c:pt>
                <c:pt idx="325">
                  <c:v>#N/A</c:v>
                </c:pt>
                <c:pt idx="326">
                  <c:v>#N/A</c:v>
                </c:pt>
                <c:pt idx="327">
                  <c:v>#N/A</c:v>
                </c:pt>
                <c:pt idx="328">
                  <c:v>#N/A</c:v>
                </c:pt>
                <c:pt idx="329">
                  <c:v>#N/A</c:v>
                </c:pt>
                <c:pt idx="330">
                  <c:v>14.999999999999964</c:v>
                </c:pt>
                <c:pt idx="331">
                  <c:v>#N/A</c:v>
                </c:pt>
                <c:pt idx="332">
                  <c:v>#N/A</c:v>
                </c:pt>
                <c:pt idx="333">
                  <c:v>#N/A</c:v>
                </c:pt>
                <c:pt idx="334">
                  <c:v>#N/A</c:v>
                </c:pt>
                <c:pt idx="335">
                  <c:v>#N/A</c:v>
                </c:pt>
                <c:pt idx="336">
                  <c:v>#N/A</c:v>
                </c:pt>
                <c:pt idx="337">
                  <c:v>#N/A</c:v>
                </c:pt>
                <c:pt idx="338">
                  <c:v>#N/A</c:v>
                </c:pt>
                <c:pt idx="339">
                  <c:v>#N/A</c:v>
                </c:pt>
                <c:pt idx="340">
                  <c:v>15.999999999999961</c:v>
                </c:pt>
                <c:pt idx="341">
                  <c:v>#N/A</c:v>
                </c:pt>
                <c:pt idx="342">
                  <c:v>#N/A</c:v>
                </c:pt>
                <c:pt idx="343">
                  <c:v>#N/A</c:v>
                </c:pt>
                <c:pt idx="344">
                  <c:v>#N/A</c:v>
                </c:pt>
                <c:pt idx="345">
                  <c:v>#N/A</c:v>
                </c:pt>
                <c:pt idx="346">
                  <c:v>#N/A</c:v>
                </c:pt>
                <c:pt idx="347">
                  <c:v>#N/A</c:v>
                </c:pt>
                <c:pt idx="348">
                  <c:v>#N/A</c:v>
                </c:pt>
                <c:pt idx="349">
                  <c:v>#N/A</c:v>
                </c:pt>
                <c:pt idx="350">
                  <c:v>16.999999999999975</c:v>
                </c:pt>
                <c:pt idx="351">
                  <c:v>#N/A</c:v>
                </c:pt>
                <c:pt idx="352">
                  <c:v>#N/A</c:v>
                </c:pt>
                <c:pt idx="353">
                  <c:v>#N/A</c:v>
                </c:pt>
                <c:pt idx="354">
                  <c:v>#N/A</c:v>
                </c:pt>
                <c:pt idx="355">
                  <c:v>#N/A</c:v>
                </c:pt>
                <c:pt idx="356">
                  <c:v>#N/A</c:v>
                </c:pt>
                <c:pt idx="357">
                  <c:v>#N/A</c:v>
                </c:pt>
                <c:pt idx="358">
                  <c:v>#N/A</c:v>
                </c:pt>
                <c:pt idx="359">
                  <c:v>#N/A</c:v>
                </c:pt>
                <c:pt idx="360">
                  <c:v>17.999999999999989</c:v>
                </c:pt>
                <c:pt idx="361">
                  <c:v>#N/A</c:v>
                </c:pt>
                <c:pt idx="362">
                  <c:v>#N/A</c:v>
                </c:pt>
                <c:pt idx="363">
                  <c:v>#N/A</c:v>
                </c:pt>
                <c:pt idx="364">
                  <c:v>#N/A</c:v>
                </c:pt>
                <c:pt idx="365">
                  <c:v>#N/A</c:v>
                </c:pt>
                <c:pt idx="366">
                  <c:v>#N/A</c:v>
                </c:pt>
                <c:pt idx="367">
                  <c:v>#N/A</c:v>
                </c:pt>
                <c:pt idx="368">
                  <c:v>#N/A</c:v>
                </c:pt>
                <c:pt idx="369">
                  <c:v>#N/A</c:v>
                </c:pt>
                <c:pt idx="370">
                  <c:v>19.000000000000004</c:v>
                </c:pt>
                <c:pt idx="371">
                  <c:v>#N/A</c:v>
                </c:pt>
                <c:pt idx="372">
                  <c:v>#N/A</c:v>
                </c:pt>
                <c:pt idx="373">
                  <c:v>#N/A</c:v>
                </c:pt>
                <c:pt idx="374">
                  <c:v>#N/A</c:v>
                </c:pt>
                <c:pt idx="375">
                  <c:v>#N/A</c:v>
                </c:pt>
                <c:pt idx="376">
                  <c:v>#N/A</c:v>
                </c:pt>
                <c:pt idx="377">
                  <c:v>#N/A</c:v>
                </c:pt>
                <c:pt idx="378">
                  <c:v>#N/A</c:v>
                </c:pt>
                <c:pt idx="379">
                  <c:v>#N/A</c:v>
                </c:pt>
                <c:pt idx="380">
                  <c:v>20.000000000000018</c:v>
                </c:pt>
                <c:pt idx="381">
                  <c:v>#N/A</c:v>
                </c:pt>
                <c:pt idx="382">
                  <c:v>#N/A</c:v>
                </c:pt>
                <c:pt idx="383">
                  <c:v>#N/A</c:v>
                </c:pt>
                <c:pt idx="384">
                  <c:v>#N/A</c:v>
                </c:pt>
                <c:pt idx="385">
                  <c:v>#N/A</c:v>
                </c:pt>
                <c:pt idx="386">
                  <c:v>#N/A</c:v>
                </c:pt>
                <c:pt idx="387">
                  <c:v>#N/A</c:v>
                </c:pt>
                <c:pt idx="388">
                  <c:v>#N/A</c:v>
                </c:pt>
                <c:pt idx="389">
                  <c:v>#N/A</c:v>
                </c:pt>
                <c:pt idx="390">
                  <c:v>21.000000000000032</c:v>
                </c:pt>
                <c:pt idx="391">
                  <c:v>#N/A</c:v>
                </c:pt>
                <c:pt idx="392">
                  <c:v>#N/A</c:v>
                </c:pt>
                <c:pt idx="393">
                  <c:v>#N/A</c:v>
                </c:pt>
                <c:pt idx="394">
                  <c:v>#N/A</c:v>
                </c:pt>
                <c:pt idx="395">
                  <c:v>#N/A</c:v>
                </c:pt>
                <c:pt idx="396">
                  <c:v>#N/A</c:v>
                </c:pt>
                <c:pt idx="397">
                  <c:v>#N/A</c:v>
                </c:pt>
                <c:pt idx="398">
                  <c:v>#N/A</c:v>
                </c:pt>
                <c:pt idx="399">
                  <c:v>#N/A</c:v>
                </c:pt>
                <c:pt idx="400">
                  <c:v>22.000000000000046</c:v>
                </c:pt>
                <c:pt idx="401">
                  <c:v>#N/A</c:v>
                </c:pt>
                <c:pt idx="402">
                  <c:v>#N/A</c:v>
                </c:pt>
                <c:pt idx="403">
                  <c:v>#N/A</c:v>
                </c:pt>
                <c:pt idx="404">
                  <c:v>#N/A</c:v>
                </c:pt>
                <c:pt idx="405">
                  <c:v>#N/A</c:v>
                </c:pt>
                <c:pt idx="406">
                  <c:v>#N/A</c:v>
                </c:pt>
                <c:pt idx="407">
                  <c:v>#N/A</c:v>
                </c:pt>
                <c:pt idx="408">
                  <c:v>#N/A</c:v>
                </c:pt>
                <c:pt idx="409">
                  <c:v>#N/A</c:v>
                </c:pt>
                <c:pt idx="410">
                  <c:v>23.00000000000006</c:v>
                </c:pt>
                <c:pt idx="411">
                  <c:v>#N/A</c:v>
                </c:pt>
                <c:pt idx="412">
                  <c:v>#N/A</c:v>
                </c:pt>
                <c:pt idx="413">
                  <c:v>#N/A</c:v>
                </c:pt>
                <c:pt idx="414">
                  <c:v>#N/A</c:v>
                </c:pt>
                <c:pt idx="415">
                  <c:v>#N/A</c:v>
                </c:pt>
                <c:pt idx="416">
                  <c:v>#N/A</c:v>
                </c:pt>
                <c:pt idx="417">
                  <c:v>#N/A</c:v>
                </c:pt>
                <c:pt idx="418">
                  <c:v>#N/A</c:v>
                </c:pt>
                <c:pt idx="419">
                  <c:v>#N/A</c:v>
                </c:pt>
                <c:pt idx="420">
                  <c:v>24.000000000000075</c:v>
                </c:pt>
                <c:pt idx="421">
                  <c:v>#N/A</c:v>
                </c:pt>
                <c:pt idx="422">
                  <c:v>#N/A</c:v>
                </c:pt>
                <c:pt idx="423">
                  <c:v>#N/A</c:v>
                </c:pt>
                <c:pt idx="424">
                  <c:v>#N/A</c:v>
                </c:pt>
                <c:pt idx="425">
                  <c:v>#N/A</c:v>
                </c:pt>
                <c:pt idx="426">
                  <c:v>#N/A</c:v>
                </c:pt>
                <c:pt idx="427">
                  <c:v>#N/A</c:v>
                </c:pt>
                <c:pt idx="428">
                  <c:v>#N/A</c:v>
                </c:pt>
                <c:pt idx="429">
                  <c:v>#N/A</c:v>
                </c:pt>
                <c:pt idx="430">
                  <c:v>25.000000000000089</c:v>
                </c:pt>
                <c:pt idx="431">
                  <c:v>#N/A</c:v>
                </c:pt>
                <c:pt idx="432">
                  <c:v>#N/A</c:v>
                </c:pt>
                <c:pt idx="433">
                  <c:v>#N/A</c:v>
                </c:pt>
                <c:pt idx="434">
                  <c:v>#N/A</c:v>
                </c:pt>
                <c:pt idx="435">
                  <c:v>#N/A</c:v>
                </c:pt>
                <c:pt idx="436">
                  <c:v>#N/A</c:v>
                </c:pt>
                <c:pt idx="437">
                  <c:v>#N/A</c:v>
                </c:pt>
                <c:pt idx="438">
                  <c:v>#N/A</c:v>
                </c:pt>
                <c:pt idx="439">
                  <c:v>#N/A</c:v>
                </c:pt>
                <c:pt idx="440">
                  <c:v>26.000000000000103</c:v>
                </c:pt>
                <c:pt idx="441">
                  <c:v>#N/A</c:v>
                </c:pt>
                <c:pt idx="442">
                  <c:v>#N/A</c:v>
                </c:pt>
                <c:pt idx="443">
                  <c:v>#N/A</c:v>
                </c:pt>
                <c:pt idx="444">
                  <c:v>#N/A</c:v>
                </c:pt>
                <c:pt idx="445">
                  <c:v>#N/A</c:v>
                </c:pt>
                <c:pt idx="446">
                  <c:v>#N/A</c:v>
                </c:pt>
                <c:pt idx="447">
                  <c:v>#N/A</c:v>
                </c:pt>
                <c:pt idx="448">
                  <c:v>#N/A</c:v>
                </c:pt>
                <c:pt idx="449">
                  <c:v>#N/A</c:v>
                </c:pt>
                <c:pt idx="450">
                  <c:v>27.000000000000117</c:v>
                </c:pt>
                <c:pt idx="451">
                  <c:v>#N/A</c:v>
                </c:pt>
                <c:pt idx="452">
                  <c:v>#N/A</c:v>
                </c:pt>
                <c:pt idx="453">
                  <c:v>#N/A</c:v>
                </c:pt>
                <c:pt idx="454">
                  <c:v>#N/A</c:v>
                </c:pt>
                <c:pt idx="455">
                  <c:v>#N/A</c:v>
                </c:pt>
                <c:pt idx="456">
                  <c:v>#N/A</c:v>
                </c:pt>
                <c:pt idx="457">
                  <c:v>#N/A</c:v>
                </c:pt>
                <c:pt idx="458">
                  <c:v>#N/A</c:v>
                </c:pt>
                <c:pt idx="459">
                  <c:v>#N/A</c:v>
                </c:pt>
                <c:pt idx="460">
                  <c:v>28.000000000000131</c:v>
                </c:pt>
                <c:pt idx="461">
                  <c:v>#N/A</c:v>
                </c:pt>
                <c:pt idx="462">
                  <c:v>#N/A</c:v>
                </c:pt>
                <c:pt idx="463">
                  <c:v>#N/A</c:v>
                </c:pt>
                <c:pt idx="464">
                  <c:v>#N/A</c:v>
                </c:pt>
                <c:pt idx="465">
                  <c:v>#N/A</c:v>
                </c:pt>
                <c:pt idx="466">
                  <c:v>#N/A</c:v>
                </c:pt>
                <c:pt idx="467">
                  <c:v>#N/A</c:v>
                </c:pt>
                <c:pt idx="468">
                  <c:v>#N/A</c:v>
                </c:pt>
                <c:pt idx="469">
                  <c:v>#N/A</c:v>
                </c:pt>
                <c:pt idx="470">
                  <c:v>29.000000000000146</c:v>
                </c:pt>
                <c:pt idx="471">
                  <c:v>#N/A</c:v>
                </c:pt>
                <c:pt idx="472">
                  <c:v>#N/A</c:v>
                </c:pt>
                <c:pt idx="473">
                  <c:v>#N/A</c:v>
                </c:pt>
                <c:pt idx="474">
                  <c:v>#N/A</c:v>
                </c:pt>
                <c:pt idx="475">
                  <c:v>#N/A</c:v>
                </c:pt>
                <c:pt idx="476">
                  <c:v>#N/A</c:v>
                </c:pt>
                <c:pt idx="477">
                  <c:v>#N/A</c:v>
                </c:pt>
                <c:pt idx="478">
                  <c:v>#N/A</c:v>
                </c:pt>
                <c:pt idx="479">
                  <c:v>#N/A</c:v>
                </c:pt>
                <c:pt idx="480">
                  <c:v>30.00000000000016</c:v>
                </c:pt>
                <c:pt idx="481">
                  <c:v>#N/A</c:v>
                </c:pt>
                <c:pt idx="482">
                  <c:v>#N/A</c:v>
                </c:pt>
                <c:pt idx="483">
                  <c:v>#N/A</c:v>
                </c:pt>
                <c:pt idx="484">
                  <c:v>#N/A</c:v>
                </c:pt>
                <c:pt idx="485">
                  <c:v>#N/A</c:v>
                </c:pt>
                <c:pt idx="486">
                  <c:v>#N/A</c:v>
                </c:pt>
                <c:pt idx="487">
                  <c:v>#N/A</c:v>
                </c:pt>
                <c:pt idx="488">
                  <c:v>#N/A</c:v>
                </c:pt>
                <c:pt idx="489">
                  <c:v>#N/A</c:v>
                </c:pt>
                <c:pt idx="490">
                  <c:v>31.000000000000174</c:v>
                </c:pt>
                <c:pt idx="491">
                  <c:v>#N/A</c:v>
                </c:pt>
                <c:pt idx="492">
                  <c:v>#N/A</c:v>
                </c:pt>
                <c:pt idx="493">
                  <c:v>#N/A</c:v>
                </c:pt>
                <c:pt idx="494">
                  <c:v>#N/A</c:v>
                </c:pt>
                <c:pt idx="495">
                  <c:v>#N/A</c:v>
                </c:pt>
                <c:pt idx="496">
                  <c:v>#N/A</c:v>
                </c:pt>
                <c:pt idx="497">
                  <c:v>#N/A</c:v>
                </c:pt>
                <c:pt idx="498">
                  <c:v>#N/A</c:v>
                </c:pt>
                <c:pt idx="499">
                  <c:v>#N/A</c:v>
                </c:pt>
                <c:pt idx="500">
                  <c:v>32.000000000000185</c:v>
                </c:pt>
                <c:pt idx="501">
                  <c:v>#N/A</c:v>
                </c:pt>
                <c:pt idx="502">
                  <c:v>#N/A</c:v>
                </c:pt>
                <c:pt idx="503">
                  <c:v>#N/A</c:v>
                </c:pt>
                <c:pt idx="504">
                  <c:v>#N/A</c:v>
                </c:pt>
                <c:pt idx="505">
                  <c:v>#N/A</c:v>
                </c:pt>
                <c:pt idx="506">
                  <c:v>#N/A</c:v>
                </c:pt>
                <c:pt idx="507">
                  <c:v>#N/A</c:v>
                </c:pt>
                <c:pt idx="508">
                  <c:v>#N/A</c:v>
                </c:pt>
                <c:pt idx="509">
                  <c:v>#N/A</c:v>
                </c:pt>
                <c:pt idx="510">
                  <c:v>33.000000000000199</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8.772253913530354E-4</c:v>
                </c:pt>
                <c:pt idx="2">
                  <c:v>7.2754367754342382E-3</c:v>
                </c:pt>
                <c:pt idx="3">
                  <c:v>2.5256519899900413E-2</c:v>
                </c:pt>
                <c:pt idx="4">
                  <c:v>5.6876016719973263E-2</c:v>
                </c:pt>
                <c:pt idx="5">
                  <c:v>0.10165371660956621</c:v>
                </c:pt>
                <c:pt idx="6">
                  <c:v>0.15925498526388057</c:v>
                </c:pt>
                <c:pt idx="7">
                  <c:v>0.22963793125601001</c:v>
                </c:pt>
                <c:pt idx="8">
                  <c:v>0.31290726322928986</c:v>
                </c:pt>
                <c:pt idx="9">
                  <c:v>0.40916774272854622</c:v>
                </c:pt>
                <c:pt idx="10">
                  <c:v>0.51852418208563844</c:v>
                </c:pt>
                <c:pt idx="11">
                  <c:v>0.64106621127563668</c:v>
                </c:pt>
                <c:pt idx="12">
                  <c:v>0.77685300300344962</c:v>
                </c:pt>
                <c:pt idx="13">
                  <c:v>0.92592843999032071</c:v>
                </c:pt>
                <c:pt idx="14">
                  <c:v>1.0883363243303719</c:v>
                </c:pt>
                <c:pt idx="15">
                  <c:v>1.264120375956824</c:v>
                </c:pt>
                <c:pt idx="16">
                  <c:v>1.4533242311033399</c:v>
                </c:pt>
                <c:pt idx="17">
                  <c:v>1.6559914407606002</c:v>
                </c:pt>
                <c:pt idx="18">
                  <c:v>1.8721654691282292</c:v>
                </c:pt>
                <c:pt idx="19">
                  <c:v>2.1018896920621857</c:v>
                </c:pt>
                <c:pt idx="20">
                  <c:v>2.3452073955177375</c:v>
                </c:pt>
                <c:pt idx="21">
                  <c:v>2.602155659767575</c:v>
                </c:pt>
                <c:pt idx="22">
                  <c:v>2.8727592271988414</c:v>
                </c:pt>
                <c:pt idx="23">
                  <c:v>3.1570365913001366</c:v>
                </c:pt>
                <c:pt idx="24">
                  <c:v>3.4550061023868048</c:v>
                </c:pt>
                <c:pt idx="25">
                  <c:v>3.7666859666786143</c:v>
                </c:pt>
                <c:pt idx="26">
                  <c:v>4.0920942453824569</c:v>
                </c:pt>
                <c:pt idx="27">
                  <c:v>4.4312340525029876</c:v>
                </c:pt>
                <c:pt idx="28">
                  <c:v>4.7841077362197328</c:v>
                </c:pt>
                <c:pt idx="29">
                  <c:v>5.1507316874083733</c:v>
                </c:pt>
                <c:pt idx="30">
                  <c:v>5.531122174472225</c:v>
                </c:pt>
                <c:pt idx="31">
                  <c:v>5.9252953511364588</c:v>
                </c:pt>
                <c:pt idx="32">
                  <c:v>6.3332672533163876</c:v>
                </c:pt>
                <c:pt idx="33">
                  <c:v>6.7550537962080375</c:v>
                </c:pt>
                <c:pt idx="34">
                  <c:v>7.1906707715740588</c:v>
                </c:pt>
                <c:pt idx="35">
                  <c:v>7.6401338452021657</c:v>
                </c:pt>
                <c:pt idx="36">
                  <c:v>8.1034585545166511</c:v>
                </c:pt>
                <c:pt idx="37">
                  <c:v>8.5806603063263491</c:v>
                </c:pt>
                <c:pt idx="38">
                  <c:v>9.0717543746947129</c:v>
                </c:pt>
                <c:pt idx="39">
                  <c:v>9.5767558989196608</c:v>
                </c:pt>
                <c:pt idx="40">
                  <c:v>10.095679881612455</c:v>
                </c:pt>
                <c:pt idx="41">
                  <c:v>10.628536427681617</c:v>
                </c:pt>
                <c:pt idx="42">
                  <c:v>11.175325972355473</c:v>
                </c:pt>
                <c:pt idx="43">
                  <c:v>11.736044023400133</c:v>
                </c:pt>
                <c:pt idx="44">
                  <c:v>12.310685914743388</c:v>
                </c:pt>
                <c:pt idx="45">
                  <c:v>12.899246805525491</c:v>
                </c:pt>
                <c:pt idx="46">
                  <c:v>13.501721679218752</c:v>
                </c:pt>
                <c:pt idx="47">
                  <c:v>14.118105342810834</c:v>
                </c:pt>
                <c:pt idx="48">
                  <c:v>14.748392426047207</c:v>
                </c:pt>
                <c:pt idx="49">
                  <c:v>15.392577380728719</c:v>
                </c:pt>
                <c:pt idx="50">
                  <c:v>16.050654480060643</c:v>
                </c:pt>
                <c:pt idx="51">
                  <c:v>16.722617818049983</c:v>
                </c:pt>
                <c:pt idx="52">
                  <c:v>17.408461308948098</c:v>
                </c:pt>
                <c:pt idx="53">
                  <c:v>18.108178686736036</c:v>
                </c:pt>
                <c:pt idx="54">
                  <c:v>18.8217635046502</c:v>
                </c:pt>
                <c:pt idx="55">
                  <c:v>19.549209134746221</c:v>
                </c:pt>
                <c:pt idx="56">
                  <c:v>20.290508767499063</c:v>
                </c:pt>
                <c:pt idx="57">
                  <c:v>21.045655411437622</c:v>
                </c:pt>
                <c:pt idx="58">
                  <c:v>21.814641892812219</c:v>
                </c:pt>
                <c:pt idx="59">
                  <c:v>22.597460855293495</c:v>
                </c:pt>
                <c:pt idx="60">
                  <c:v>23.394104759701406</c:v>
                </c:pt>
                <c:pt idx="61">
                  <c:v>24.204565883763053</c:v>
                </c:pt>
                <c:pt idx="62">
                  <c:v>25.028836321898275</c:v>
                </c:pt>
                <c:pt idx="63">
                  <c:v>25.866907985031929</c:v>
                </c:pt>
                <c:pt idx="64">
                  <c:v>26.71877260043194</c:v>
                </c:pt>
                <c:pt idx="65">
                  <c:v>27.584421711572233</c:v>
                </c:pt>
                <c:pt idx="66">
                  <c:v>28.463846678019735</c:v>
                </c:pt>
                <c:pt idx="67">
                  <c:v>29.357038675344725</c:v>
                </c:pt>
                <c:pt idx="68">
                  <c:v>30.263988695053818</c:v>
                </c:pt>
                <c:pt idx="69">
                  <c:v>31.18468754454495</c:v>
                </c:pt>
                <c:pt idx="70">
                  <c:v>32.119125847083765</c:v>
                </c:pt>
                <c:pt idx="71">
                  <c:v>33.067294041800871</c:v>
                </c:pt>
                <c:pt idx="72">
                  <c:v>34.02918238370939</c:v>
                </c:pt>
                <c:pt idx="73">
                  <c:v>35.004780943742425</c:v>
                </c:pt>
                <c:pt idx="74">
                  <c:v>35.994079608809855</c:v>
                </c:pt>
                <c:pt idx="75">
                  <c:v>36.997068081874161</c:v>
                </c:pt>
                <c:pt idx="76">
                  <c:v>38.013735882044799</c:v>
                </c:pt>
                <c:pt idx="77">
                  <c:v>39.044072344690811</c:v>
                </c:pt>
                <c:pt idx="78">
                  <c:v>40.088066621571258</c:v>
                </c:pt>
                <c:pt idx="79">
                  <c:v>41.1457076809832</c:v>
                </c:pt>
                <c:pt idx="80">
                  <c:v>42.216984307926872</c:v>
                </c:pt>
                <c:pt idx="81">
                  <c:v>43.301880264336113</c:v>
                </c:pt>
                <c:pt idx="82">
                  <c:v>44.400369440399622</c:v>
                </c:pt>
                <c:pt idx="83">
                  <c:v>45.51242068417173</c:v>
                </c:pt>
                <c:pt idx="84">
                  <c:v>46.638002640537323</c:v>
                </c:pt>
                <c:pt idx="85">
                  <c:v>47.777083752284568</c:v>
                </c:pt>
                <c:pt idx="86">
                  <c:v>48.92963226119516</c:v>
                </c:pt>
                <c:pt idx="87">
                  <c:v>50.095616209151714</c:v>
                </c:pt>
                <c:pt idx="88">
                  <c:v>51.275003439261987</c:v>
                </c:pt>
                <c:pt idx="89">
                  <c:v>52.467761596999388</c:v>
                </c:pt>
                <c:pt idx="90">
                  <c:v>53.673858131359609</c:v>
                </c:pt>
                <c:pt idx="91">
                  <c:v>54.893258156395945</c:v>
                </c:pt>
                <c:pt idx="92">
                  <c:v>56.125922309201115</c:v>
                </c:pt>
                <c:pt idx="93">
                  <c:v>57.37180888681921</c:v>
                </c:pt>
                <c:pt idx="94">
                  <c:v>58.630875986941582</c:v>
                </c:pt>
                <c:pt idx="95">
                  <c:v>59.903081509539369</c:v>
                </c:pt>
                <c:pt idx="96">
                  <c:v>61.188383158509829</c:v>
                </c:pt>
                <c:pt idx="97">
                  <c:v>62.486738443336158</c:v>
                </c:pt>
                <c:pt idx="98">
                  <c:v>63.798104680760403</c:v>
                </c:pt>
                <c:pt idx="99">
                  <c:v>65.122438996469057</c:v>
                </c:pt>
                <c:pt idx="100">
                  <c:v>66.459698326791056</c:v>
                </c:pt>
                <c:pt idx="101">
                  <c:v>67.809839077977514</c:v>
                </c:pt>
                <c:pt idx="102">
                  <c:v>69.172816784987262</c:v>
                </c:pt>
                <c:pt idx="103">
                  <c:v>70.54858645514517</c:v>
                </c:pt>
                <c:pt idx="104">
                  <c:v>71.93710291235017</c:v>
                </c:pt>
                <c:pt idx="105">
                  <c:v>73.338320798895296</c:v>
                </c:pt>
                <c:pt idx="106">
                  <c:v>74.752194577297999</c:v>
                </c:pt>
                <c:pt idx="107">
                  <c:v>76.178678532140111</c:v>
                </c:pt>
                <c:pt idx="108">
                  <c:v>77.617726771917361</c:v>
                </c:pt>
                <c:pt idx="109">
                  <c:v>79.069293230897998</c:v>
                </c:pt>
                <c:pt idx="110">
                  <c:v>80.533331670990165</c:v>
                </c:pt>
                <c:pt idx="111">
                  <c:v>82.009799628496125</c:v>
                </c:pt>
                <c:pt idx="112">
                  <c:v>83.49866236595993</c:v>
                </c:pt>
                <c:pt idx="113">
                  <c:v>84.999888933611786</c:v>
                </c:pt>
                <c:pt idx="114">
                  <c:v>86.513448225377232</c:v>
                </c:pt>
                <c:pt idx="115">
                  <c:v>88.039308980069563</c:v>
                </c:pt>
                <c:pt idx="116">
                  <c:v>89.577439782590886</c:v>
                </c:pt>
                <c:pt idx="117">
                  <c:v>91.127809065141633</c:v>
                </c:pt>
                <c:pt idx="118">
                  <c:v>92.690385108438264</c:v>
                </c:pt>
                <c:pt idx="119">
                  <c:v>94.265136042939091</c:v>
                </c:pt>
                <c:pt idx="120">
                  <c:v>95.852029850077955</c:v>
                </c:pt>
                <c:pt idx="121">
                  <c:v>97.451027816669367</c:v>
                </c:pt>
                <c:pt idx="122">
                  <c:v>99.062077981943247</c:v>
                </c:pt>
                <c:pt idx="123">
                  <c:v>100.68512168035352</c:v>
                </c:pt>
                <c:pt idx="124">
                  <c:v>102.3201000923803</c:v>
                </c:pt>
                <c:pt idx="125">
                  <c:v>103.96695424701494</c:v>
                </c:pt>
                <c:pt idx="126">
                  <c:v>105.62562502424719</c:v>
                </c:pt>
                <c:pt idx="127">
                  <c:v>107.29605315755407</c:v>
                </c:pt>
                <c:pt idx="128">
                  <c:v>108.97817923639029</c:v>
                </c:pt>
                <c:pt idx="129">
                  <c:v>110.67194370867954</c:v>
                </c:pt>
                <c:pt idx="130">
                  <c:v>112.37728688330651</c:v>
                </c:pt>
                <c:pt idx="131">
                  <c:v>114.09414721764742</c:v>
                </c:pt>
                <c:pt idx="132">
                  <c:v>115.82245960354244</c:v>
                </c:pt>
                <c:pt idx="133">
                  <c:v>117.56215708405546</c:v>
                </c:pt>
                <c:pt idx="134">
                  <c:v>119.31317257196277</c:v>
                </c:pt>
                <c:pt idx="135">
                  <c:v>121.07543885258555</c:v>
                </c:pt>
                <c:pt idx="136">
                  <c:v>122.84888858661861</c:v>
                </c:pt>
                <c:pt idx="137">
                  <c:v>124.63345431295531</c:v>
                </c:pt>
                <c:pt idx="138">
                  <c:v>126.42906845150793</c:v>
                </c:pt>
                <c:pt idx="139">
                  <c:v>128.23566330602353</c:v>
                </c:pt>
                <c:pt idx="140">
                  <c:v>130.05317106689444</c:v>
                </c:pt>
                <c:pt idx="141">
                  <c:v>131.88150329728774</c:v>
                </c:pt>
                <c:pt idx="142">
                  <c:v>133.72053040559149</c:v>
                </c:pt>
                <c:pt idx="143">
                  <c:v>135.57010216572837</c:v>
                </c:pt>
                <c:pt idx="144">
                  <c:v>137.43006825365975</c:v>
                </c:pt>
                <c:pt idx="145">
                  <c:v>139.30027825517917</c:v>
                </c:pt>
                <c:pt idx="146">
                  <c:v>141.18058167364725</c:v>
                </c:pt>
                <c:pt idx="147">
                  <c:v>143.07082793766736</c:v>
                </c:pt>
                <c:pt idx="148">
                  <c:v>144.97086640870035</c:v>
                </c:pt>
                <c:pt idx="149">
                  <c:v>146.88054638861755</c:v>
                </c:pt>
                <c:pt idx="150">
                  <c:v>148.79971712719083</c:v>
                </c:pt>
                <c:pt idx="151">
                  <c:v>150.72822782951872</c:v>
                </c:pt>
                <c:pt idx="152">
                  <c:v>152.66592766338741</c:v>
                </c:pt>
                <c:pt idx="153">
                  <c:v>154.61266576656575</c:v>
                </c:pt>
                <c:pt idx="154">
                  <c:v>156.56829125403337</c:v>
                </c:pt>
                <c:pt idx="155">
                  <c:v>158.53265322514068</c:v>
                </c:pt>
                <c:pt idx="156">
                  <c:v>160.50550353814256</c:v>
                </c:pt>
                <c:pt idx="157">
                  <c:v>162.48639958495508</c:v>
                </c:pt>
                <c:pt idx="158">
                  <c:v>164.47480164958151</c:v>
                </c:pt>
                <c:pt idx="159">
                  <c:v>166.47017029015527</c:v>
                </c:pt>
                <c:pt idx="160">
                  <c:v>168.47196639327146</c:v>
                </c:pt>
                <c:pt idx="161">
                  <c:v>170.47952759311173</c:v>
                </c:pt>
                <c:pt idx="162">
                  <c:v>172.49194478448419</c:v>
                </c:pt>
                <c:pt idx="163">
                  <c:v>174.50819791169513</c:v>
                </c:pt>
                <c:pt idx="164">
                  <c:v>176.52729170632691</c:v>
                </c:pt>
                <c:pt idx="165">
                  <c:v>178.54836213411519</c:v>
                </c:pt>
                <c:pt idx="166">
                  <c:v>180.57078266122147</c:v>
                </c:pt>
                <c:pt idx="167">
                  <c:v>182.59395606140745</c:v>
                </c:pt>
                <c:pt idx="168">
                  <c:v>184.61717147437133</c:v>
                </c:pt>
                <c:pt idx="169">
                  <c:v>186.63950902419984</c:v>
                </c:pt>
                <c:pt idx="170">
                  <c:v>188.65980967269536</c:v>
                </c:pt>
                <c:pt idx="171">
                  <c:v>190.67726287924197</c:v>
                </c:pt>
                <c:pt idx="172">
                  <c:v>192.69166813392965</c:v>
                </c:pt>
                <c:pt idx="173">
                  <c:v>194.7030320533828</c:v>
                </c:pt>
                <c:pt idx="174">
                  <c:v>196.71136122821548</c:v>
                </c:pt>
                <c:pt idx="175">
                  <c:v>198.71666222316696</c:v>
                </c:pt>
                <c:pt idx="176">
                  <c:v>200.71894157723634</c:v>
                </c:pt>
                <c:pt idx="177">
                  <c:v>202.71820580381623</c:v>
                </c:pt>
                <c:pt idx="178">
                  <c:v>204.71446139082576</c:v>
                </c:pt>
                <c:pt idx="179">
                  <c:v>206.70771480084247</c:v>
                </c:pt>
                <c:pt idx="180">
                  <c:v>208.6979724712335</c:v>
                </c:pt>
                <c:pt idx="181">
                  <c:v>210.68524081428581</c:v>
                </c:pt>
                <c:pt idx="182">
                  <c:v>212.66952621733566</c:v>
                </c:pt>
                <c:pt idx="183">
                  <c:v>214.65083504289723</c:v>
                </c:pt>
                <c:pt idx="184">
                  <c:v>216.62917362879031</c:v>
                </c:pt>
                <c:pt idx="185">
                  <c:v>218.60454828826724</c:v>
                </c:pt>
                <c:pt idx="186">
                  <c:v>220.57696531013903</c:v>
                </c:pt>
                <c:pt idx="187">
                  <c:v>222.5464309589006</c:v>
                </c:pt>
                <c:pt idx="188">
                  <c:v>224.51295147485527</c:v>
                </c:pt>
                <c:pt idx="189">
                  <c:v>226.47653307423849</c:v>
                </c:pt>
                <c:pt idx="190">
                  <c:v>228.43718194934061</c:v>
                </c:pt>
                <c:pt idx="191">
                  <c:v>230.39490426862901</c:v>
                </c:pt>
                <c:pt idx="192">
                  <c:v>232.34970617686935</c:v>
                </c:pt>
                <c:pt idx="193">
                  <c:v>234.30159379524619</c:v>
                </c:pt>
                <c:pt idx="194">
                  <c:v>236.2505732214826</c:v>
                </c:pt>
                <c:pt idx="195">
                  <c:v>238.19665052995919</c:v>
                </c:pt>
                <c:pt idx="196">
                  <c:v>240.13983177183235</c:v>
                </c:pt>
                <c:pt idx="197">
                  <c:v>242.08012297515162</c:v>
                </c:pt>
                <c:pt idx="198">
                  <c:v>244.01753014497649</c:v>
                </c:pt>
                <c:pt idx="199">
                  <c:v>245.95205926349229</c:v>
                </c:pt>
                <c:pt idx="200">
                  <c:v>247.88371629012539</c:v>
                </c:pt>
                <c:pt idx="201">
                  <c:v>267.04278134940603</c:v>
                </c:pt>
                <c:pt idx="202">
                  <c:v>285.91845415997216</c:v>
                </c:pt>
                <c:pt idx="203">
                  <c:v>304.51647953994552</c:v>
                </c:pt>
                <c:pt idx="204">
                  <c:v>322.84238932557327</c:v>
                </c:pt>
                <c:pt idx="205">
                  <c:v>340.90151270487166</c:v>
                </c:pt>
                <c:pt idx="206">
                  <c:v>358.69898592371345</c:v>
                </c:pt>
                <c:pt idx="207">
                  <c:v>376.23976140975299</c:v>
                </c:pt>
                <c:pt idx="208">
                  <c:v>393.52861635578302</c:v>
                </c:pt>
                <c:pt idx="209">
                  <c:v>410.57016080067353</c:v>
                </c:pt>
                <c:pt idx="210">
                  <c:v>427.36884524292645</c:v>
                </c:pt>
                <c:pt idx="211">
                  <c:v>443.92896781904818</c:v>
                </c:pt>
                <c:pt idx="212">
                  <c:v>460.25468107637266</c:v>
                </c:pt>
                <c:pt idx="213">
                  <c:v>476.34999836762898</c:v>
                </c:pt>
                <c:pt idx="214">
                  <c:v>492.21879989241813</c:v>
                </c:pt>
                <c:pt idx="215">
                  <c:v>507.86483840882357</c:v>
                </c:pt>
                <c:pt idx="216">
                  <c:v>523.29174463660877</c:v>
                </c:pt>
                <c:pt idx="217">
                  <c:v>538.50303237183709</c:v>
                </c:pt>
                <c:pt idx="218">
                  <c:v>553.50210333127029</c:v>
                </c:pt>
                <c:pt idx="219">
                  <c:v>568.2922517435461</c:v>
                </c:pt>
                <c:pt idx="220">
                  <c:v>582.87666870289729</c:v>
                </c:pt>
                <c:pt idx="221">
                  <c:v>597.25844630003314</c:v>
                </c:pt>
                <c:pt idx="222">
                  <c:v>611.4405815437608</c:v>
                </c:pt>
                <c:pt idx="223">
                  <c:v>625.42598008596508</c:v>
                </c:pt>
                <c:pt idx="224">
                  <c:v>639.21745976167858</c:v>
                </c:pt>
                <c:pt idx="225">
                  <c:v>652.8177539551649</c:v>
                </c:pt>
                <c:pt idx="226">
                  <c:v>666.22951480218603</c:v>
                </c:pt>
                <c:pt idx="227">
                  <c:v>679.45531623793465</c:v>
                </c:pt>
                <c:pt idx="228">
                  <c:v>692.49765689947606</c:v>
                </c:pt>
                <c:pt idx="229">
                  <c:v>705.35896289095297</c:v>
                </c:pt>
                <c:pt idx="230">
                  <c:v>718.04159041926459</c:v>
                </c:pt>
                <c:pt idx="231">
                  <c:v>730.54782830742647</c:v>
                </c:pt>
                <c:pt idx="232">
                  <c:v>742.87990039235069</c:v>
                </c:pt>
                <c:pt idx="233">
                  <c:v>755.03996781335661</c:v>
                </c:pt>
                <c:pt idx="234">
                  <c:v>767.03013119731804</c:v>
                </c:pt>
                <c:pt idx="235">
                  <c:v>778.8524327459844</c:v>
                </c:pt>
                <c:pt idx="236">
                  <c:v>790.50885823066665</c:v>
                </c:pt>
                <c:pt idx="237">
                  <c:v>802.00133889915753</c:v>
                </c:pt>
                <c:pt idx="238">
                  <c:v>813.33175329945948</c:v>
                </c:pt>
                <c:pt idx="239">
                  <c:v>824.50192902461379</c:v>
                </c:pt>
                <c:pt idx="240">
                  <c:v>835.5136443826683</c:v>
                </c:pt>
                <c:pt idx="241">
                  <c:v>846.36862999557832</c:v>
                </c:pt>
                <c:pt idx="242">
                  <c:v>857.06857033061294</c:v>
                </c:pt>
                <c:pt idx="243">
                  <c:v>867.61510516762803</c:v>
                </c:pt>
                <c:pt idx="244">
                  <c:v>878.00983100537269</c:v>
                </c:pt>
                <c:pt idx="245">
                  <c:v>888.2543024098137</c:v>
                </c:pt>
                <c:pt idx="246">
                  <c:v>898.35003330729091</c:v>
                </c:pt>
                <c:pt idx="247">
                  <c:v>908.29849822515826</c:v>
                </c:pt>
                <c:pt idx="248">
                  <c:v>918.10113348241475</c:v>
                </c:pt>
                <c:pt idx="249">
                  <c:v>927.75933833269187</c:v>
                </c:pt>
                <c:pt idx="250">
                  <c:v>937.27447606183057</c:v>
                </c:pt>
                <c:pt idx="251">
                  <c:v>946.64787504216099</c:v>
                </c:pt>
                <c:pt idx="252">
                  <c:v>955.88082974548161</c:v>
                </c:pt>
                <c:pt idx="253">
                  <c:v>964.97460171662726</c:v>
                </c:pt>
                <c:pt idx="254">
                  <c:v>973.93042050941381</c:v>
                </c:pt>
                <c:pt idx="255">
                  <c:v>982.74948458665347</c:v>
                </c:pt>
                <c:pt idx="256">
                  <c:v>991.43296218584396</c:v>
                </c:pt>
                <c:pt idx="257">
                  <c:v>999.98199215205238</c:v>
                </c:pt>
                <c:pt idx="258">
                  <c:v>1008.3976847394348</c:v>
                </c:pt>
                <c:pt idx="259">
                  <c:v>1016.6811223827584</c:v>
                </c:pt>
                <c:pt idx="260">
                  <c:v>1024.8333604402246</c:v>
                </c:pt>
                <c:pt idx="261">
                  <c:v>1032.8554279088239</c:v>
                </c:pt>
                <c:pt idx="262">
                  <c:v>1040.7483281133927</c:v>
                </c:pt>
                <c:pt idx="263">
                  <c:v>1048.5130393704849</c:v>
                </c:pt>
                <c:pt idx="264">
                  <c:v>1056.1505156281125</c:v>
                </c:pt>
                <c:pt idx="265">
                  <c:v>1063.6616870823639</c:v>
                </c:pt>
                <c:pt idx="266">
                  <c:v>1071.0474607718515</c:v>
                </c:pt>
                <c:pt idx="267">
                  <c:v>1078.3087211509057</c:v>
                </c:pt>
                <c:pt idx="268">
                  <c:v>1085.4463306423743</c:v>
                </c:pt>
                <c:pt idx="269">
                  <c:v>1092.461130170861</c:v>
                </c:pt>
                <c:pt idx="270">
                  <c:v>1099.3539396771851</c:v>
                </c:pt>
                <c:pt idx="271">
                  <c:v>1106.125558614817</c:v>
                </c:pt>
                <c:pt idx="272">
                  <c:v>1112.7767664290061</c:v>
                </c:pt>
                <c:pt idx="273">
                  <c:v>1119.3083230192838</c:v>
                </c:pt>
                <c:pt idx="274">
                  <c:v>1125.7209691859989</c:v>
                </c:pt>
                <c:pt idx="275">
                  <c:v>1132.0154270615096</c:v>
                </c:pt>
                <c:pt idx="276">
                  <c:v>1138.1924005266312</c:v>
                </c:pt>
                <c:pt idx="277">
                  <c:v>1144.2525756129128</c:v>
                </c:pt>
                <c:pt idx="278">
                  <c:v>1150.1966208912945</c:v>
                </c:pt>
                <c:pt idx="279">
                  <c:v>1156.0251878476702</c:v>
                </c:pt>
                <c:pt idx="280">
                  <c:v>1161.7389112458641</c:v>
                </c:pt>
                <c:pt idx="281">
                  <c:v>1167.3384094785101</c:v>
                </c:pt>
                <c:pt idx="282">
                  <c:v>1172.8242849062999</c:v>
                </c:pt>
                <c:pt idx="283">
                  <c:v>1178.1971241860556</c:v>
                </c:pt>
                <c:pt idx="284">
                  <c:v>1183.4574985880633</c:v>
                </c:pt>
                <c:pt idx="285">
                  <c:v>1188.6059643030919</c:v>
                </c:pt>
                <c:pt idx="286">
                  <c:v>1193.6430627395059</c:v>
                </c:pt>
                <c:pt idx="287">
                  <c:v>1198.5693208108753</c:v>
                </c:pt>
                <c:pt idx="288">
                  <c:v>1203.3852512144686</c:v>
                </c:pt>
                <c:pt idx="289">
                  <c:v>1208.0913527010125</c:v>
                </c:pt>
                <c:pt idx="290">
                  <c:v>1212.6881103360915</c:v>
                </c:pt>
                <c:pt idx="291">
                  <c:v>1217.1759957535551</c:v>
                </c:pt>
                <c:pt idx="292">
                  <c:v>1221.5554674012972</c:v>
                </c:pt>
                <c:pt idx="293">
                  <c:v>1225.826970779771</c:v>
                </c:pt>
                <c:pt idx="294">
                  <c:v>1229.9909386735987</c:v>
                </c:pt>
                <c:pt idx="295">
                  <c:v>1234.0477913766392</c:v>
                </c:pt>
                <c:pt idx="296">
                  <c:v>1237.9979369108812</c:v>
                </c:pt>
                <c:pt idx="297">
                  <c:v>1241.8417712395324</c:v>
                </c:pt>
                <c:pt idx="298">
                  <c:v>1245.579678474684</c:v>
                </c:pt>
                <c:pt idx="299">
                  <c:v>1249.2120310799421</c:v>
                </c:pt>
                <c:pt idx="300">
                  <c:v>1252.7391900684295</c:v>
                </c:pt>
                <c:pt idx="301">
                  <c:v>1256.1615051965794</c:v>
                </c:pt>
                <c:pt idx="302">
                  <c:v>1259.4793151541624</c:v>
                </c:pt>
                <c:pt idx="303">
                  <c:v>1262.6929477510121</c:v>
                </c:pt>
                <c:pt idx="304">
                  <c:v>1265.8027201009429</c:v>
                </c:pt>
                <c:pt idx="305">
                  <c:v>1268.8089388033895</c:v>
                </c:pt>
                <c:pt idx="306">
                  <c:v>1271.7119001233311</c:v>
                </c:pt>
                <c:pt idx="307">
                  <c:v>1274.5118901701101</c:v>
                </c:pt>
                <c:pt idx="308">
                  <c:v>1277.209185075804</c:v>
                </c:pt>
                <c:pt idx="309">
                  <c:v>1279.8040511738641</c:v>
                </c:pt>
                <c:pt idx="310">
                  <c:v>1282.2967451787956</c:v>
                </c:pt>
                <c:pt idx="311">
                  <c:v>1284.6875143677248</c:v>
                </c:pt>
                <c:pt idx="312">
                  <c:v>1286.9765967647702</c:v>
                </c:pt>
                <c:pt idx="313">
                  <c:v>1289.1642213292193</c:v>
                </c:pt>
                <c:pt idx="314">
                  <c:v>1291.2506081485956</c:v>
                </c:pt>
                <c:pt idx="315">
                  <c:v>1293.2359686377911</c:v>
                </c:pt>
                <c:pt idx="316">
                  <c:v>1295.1205057455368</c:v>
                </c:pt>
                <c:pt idx="317">
                  <c:v>1296.9044141695706</c:v>
                </c:pt>
                <c:pt idx="318">
                  <c:v>1298.5878805819525</c:v>
                </c:pt>
                <c:pt idx="319">
                  <c:v>1300.1710838660608</c:v>
                </c:pt>
                <c:pt idx="320">
                  <c:v>1301.6541953668641</c:v>
                </c:pt>
                <c:pt idx="321">
                  <c:v>1303.0373791561117</c:v>
                </c:pt>
                <c:pt idx="322">
                  <c:v>1304.3207923140974</c:v>
                </c:pt>
                <c:pt idx="323">
                  <c:v>1305.5045852296269</c:v>
                </c:pt>
                <c:pt idx="324">
                  <c:v>1306.5889019197398</c:v>
                </c:pt>
                <c:pt idx="325">
                  <c:v>1307.5738803706017</c:v>
                </c:pt>
                <c:pt idx="326">
                  <c:v>1308.4596529007677</c:v>
                </c:pt>
                <c:pt idx="327">
                  <c:v>1309.2463465477244</c:v>
                </c:pt>
                <c:pt idx="328">
                  <c:v>1309.9340834782438</c:v>
                </c:pt>
                <c:pt idx="329">
                  <c:v>1310.5229814226036</c:v>
                </c:pt>
                <c:pt idx="330">
                  <c:v>1311.0131541321896</c:v>
                </c:pt>
                <c:pt idx="331">
                  <c:v>1311.4047118593642</c:v>
                </c:pt>
                <c:pt idx="332">
                  <c:v>1311.6977618578248</c:v>
                </c:pt>
                <c:pt idx="333">
                  <c:v>1311.8924089009854</c:v>
                </c:pt>
                <c:pt idx="334">
                  <c:v>1311.9887558152445</c:v>
                </c:pt>
                <c:pt idx="335">
                  <c:v>1311.9869040243964</c:v>
                </c:pt>
                <c:pt idx="336">
                  <c:v>1311.886954100929</c:v>
                </c:pt>
                <c:pt idx="337">
                  <c:v>1311.6890063195806</c:v>
                </c:pt>
                <c:pt idx="338">
                  <c:v>1311.393161208317</c:v>
                </c:pt>
                <c:pt idx="339">
                  <c:v>1310.9995200918665</c:v>
                </c:pt>
                <c:pt idx="340">
                  <c:v>1310.5081856231081</c:v>
                </c:pt>
                <c:pt idx="341">
                  <c:v>1309.919262297936</c:v>
                </c:pt>
                <c:pt idx="342">
                  <c:v>1309.232856949704</c:v>
                </c:pt>
                <c:pt idx="343">
                  <c:v>1308.4490792199392</c:v>
                </c:pt>
                <c:pt idx="344">
                  <c:v>1307.5680420026738</c:v>
                </c:pt>
                <c:pt idx="345">
                  <c:v>1306.5898618604363</c:v>
                </c:pt>
                <c:pt idx="346">
                  <c:v>1305.5146594106218</c:v>
                </c:pt>
                <c:pt idx="347">
                  <c:v>1304.3425596816005</c:v>
                </c:pt>
                <c:pt idx="348">
                  <c:v>1303.0736924385008</c:v>
                </c:pt>
                <c:pt idx="349">
                  <c:v>1301.7081924790925</c:v>
                </c:pt>
                <c:pt idx="350">
                  <c:v>1300.2461999006039</c:v>
                </c:pt>
                <c:pt idx="351">
                  <c:v>1298.6878603386172</c:v>
                </c:pt>
                <c:pt idx="352">
                  <c:v>1297.0333251794216</c:v>
                </c:pt>
                <c:pt idx="353">
                  <c:v>1295.2827517473515</c:v>
                </c:pt>
                <c:pt idx="354">
                  <c:v>1293.4363034687274</c:v>
                </c:pt>
                <c:pt idx="355">
                  <c:v>1291.4941500140476</c:v>
                </c:pt>
                <c:pt idx="356">
                  <c:v>1289.4564674200701</c:v>
                </c:pt>
                <c:pt idx="357">
                  <c:v>1287.3234381933755</c:v>
                </c:pt>
                <c:pt idx="358">
                  <c:v>1285.0952513969353</c:v>
                </c:pt>
                <c:pt idx="359">
                  <c:v>1282.7721027211276</c:v>
                </c:pt>
                <c:pt idx="360">
                  <c:v>1280.3541945405409</c:v>
                </c:pt>
                <c:pt idx="361">
                  <c:v>1277.8417359578157</c:v>
                </c:pt>
                <c:pt idx="362">
                  <c:v>1275.2349428356647</c:v>
                </c:pt>
                <c:pt idx="363">
                  <c:v>1272.5340378181222</c:v>
                </c:pt>
                <c:pt idx="364">
                  <c:v>1269.7392503419733</c:v>
                </c:pt>
                <c:pt idx="365">
                  <c:v>1266.8508166392271</c:v>
                </c:pt>
                <c:pt idx="366">
                  <c:v>1263.8689797314146</c:v>
                </c:pt>
                <c:pt idx="367">
                  <c:v>1260.7939894164151</c:v>
                </c:pt>
                <c:pt idx="368">
                  <c:v>1257.6261022484478</c:v>
                </c:pt>
                <c:pt idx="369">
                  <c:v>1254.3655815117957</c:v>
                </c:pt>
                <c:pt idx="370">
                  <c:v>1251.0126971887805</c:v>
                </c:pt>
                <c:pt idx="371">
                  <c:v>1247.5677259224469</c:v>
                </c:pt>
                <c:pt idx="372">
                  <c:v>1244.0309509743752</c:v>
                </c:pt>
                <c:pt idx="373">
                  <c:v>1240.4026621779956</c:v>
                </c:pt>
                <c:pt idx="374">
                  <c:v>1236.683155887745</c:v>
                </c:pt>
                <c:pt idx="375">
                  <c:v>1232.8727349243702</c:v>
                </c:pt>
                <c:pt idx="376">
                  <c:v>1228.9717085166562</c:v>
                </c:pt>
                <c:pt idx="377">
                  <c:v>1224.9803922398303</c:v>
                </c:pt>
                <c:pt idx="378">
                  <c:v>1220.8991079508721</c:v>
                </c:pt>
                <c:pt idx="379">
                  <c:v>1216.7281837209368</c:v>
                </c:pt>
                <c:pt idx="380">
                  <c:v>1212.467953765085</c:v>
                </c:pt>
                <c:pt idx="381">
                  <c:v>1208.1187583694914</c:v>
                </c:pt>
                <c:pt idx="382">
                  <c:v>1203.6809438162979</c:v>
                </c:pt>
                <c:pt idx="383">
                  <c:v>1199.154862306257</c:v>
                </c:pt>
                <c:pt idx="384">
                  <c:v>1194.5408718793049</c:v>
                </c:pt>
                <c:pt idx="385">
                  <c:v>1189.8393363331938</c:v>
                </c:pt>
                <c:pt idx="386">
                  <c:v>1185.0506251403031</c:v>
                </c:pt>
                <c:pt idx="387">
                  <c:v>1180.1751133627404</c:v>
                </c:pt>
                <c:pt idx="388">
                  <c:v>1175.2131815658411</c:v>
                </c:pt>
                <c:pt idx="389">
                  <c:v>1170.1652157301626</c:v>
                </c:pt>
                <c:pt idx="390">
                  <c:v>1165.0316071620714</c:v>
                </c:pt>
                <c:pt idx="391">
                  <c:v>1159.8127524030085</c:v>
                </c:pt>
                <c:pt idx="392">
                  <c:v>1154.5090531375213</c:v>
                </c:pt>
                <c:pt idx="393">
                  <c:v>1149.120916100142</c:v>
                </c:pt>
                <c:pt idx="394">
                  <c:v>1143.6487529811911</c:v>
                </c:pt>
                <c:pt idx="395">
                  <c:v>1138.0929803315782</c:v>
                </c:pt>
                <c:pt idx="396">
                  <c:v>1132.4540194666768</c:v>
                </c:pt>
                <c:pt idx="397">
                  <c:v>1126.7322963693364</c:v>
                </c:pt>
                <c:pt idx="398">
                  <c:v>1120.9282415921036</c:v>
                </c:pt>
                <c:pt idx="399">
                  <c:v>1115.0422901587153</c:v>
                </c:pt>
                <c:pt idx="400">
                  <c:v>1109.0748814649244</c:v>
                </c:pt>
                <c:pt idx="401">
                  <c:v>1103.0264591787234</c:v>
                </c:pt>
                <c:pt idx="402">
                  <c:v>1096.8974711400215</c:v>
                </c:pt>
                <c:pt idx="403">
                  <c:v>1090.6883692598351</c:v>
                </c:pt>
                <c:pt idx="404">
                  <c:v>1084.3996094190454</c:v>
                </c:pt>
                <c:pt idx="405">
                  <c:v>1078.031651366781</c:v>
                </c:pt>
                <c:pt idx="406">
                  <c:v>1071.5849586184761</c:v>
                </c:pt>
                <c:pt idx="407">
                  <c:v>1065.0599983536588</c:v>
                </c:pt>
                <c:pt idx="408">
                  <c:v>1058.4572413135195</c:v>
                </c:pt>
                <c:pt idx="409">
                  <c:v>1051.7771616983084</c:v>
                </c:pt>
                <c:pt idx="410">
                  <c:v>1045.0202370646134</c:v>
                </c:pt>
                <c:pt idx="411">
                  <c:v>1038.1869482225636</c:v>
                </c:pt>
                <c:pt idx="412">
                  <c:v>1031.2777791330068</c:v>
                </c:pt>
                <c:pt idx="413">
                  <c:v>1024.2932168047064</c:v>
                </c:pt>
                <c:pt idx="414">
                  <c:v>1017.2337511916016</c:v>
                </c:pt>
                <c:pt idx="415">
                  <c:v>1010.0998750901765</c:v>
                </c:pt>
                <c:pt idx="416">
                  <c:v>1002.8920840369792</c:v>
                </c:pt>
                <c:pt idx="417">
                  <c:v>995.61087620633384</c:v>
                </c:pt>
                <c:pt idx="418">
                  <c:v>988.25675230828654</c:v>
                </c:pt>
                <c:pt idx="419">
                  <c:v>980.8302154868253</c:v>
                </c:pt>
                <c:pt idx="420">
                  <c:v>973.33177121841311</c:v>
                </c:pt>
                <c:pt idx="421">
                  <c:v>965.7619272108725</c:v>
                </c:pt>
                <c:pt idx="422">
                  <c:v>958.12119330265932</c:v>
                </c:pt>
                <c:pt idx="423">
                  <c:v>950.41008136256221</c:v>
                </c:pt>
                <c:pt idx="424">
                  <c:v>942.62910518986348</c:v>
                </c:pt>
                <c:pt idx="425">
                  <c:v>934.77878041499605</c:v>
                </c:pt>
                <c:pt idx="426">
                  <c:v>926.85962440073081</c:v>
                </c:pt>
                <c:pt idx="427">
                  <c:v>918.87215614392744</c:v>
                </c:pt>
                <c:pt idx="428">
                  <c:v>910.81689617788061</c:v>
                </c:pt>
                <c:pt idx="429">
                  <c:v>902.6943664752929</c:v>
                </c:pt>
                <c:pt idx="430">
                  <c:v>894.50509035190578</c:v>
                </c:pt>
                <c:pt idx="431">
                  <c:v>886.24959237081691</c:v>
                </c:pt>
                <c:pt idx="432">
                  <c:v>877.92839824751377</c:v>
                </c:pt>
                <c:pt idx="433">
                  <c:v>869.542034755651</c:v>
                </c:pt>
                <c:pt idx="434">
                  <c:v>861.09102963359783</c:v>
                </c:pt>
                <c:pt idx="435">
                  <c:v>852.57591149178324</c:v>
                </c:pt>
                <c:pt idx="436">
                  <c:v>843.99720972086288</c:v>
                </c:pt>
                <c:pt idx="437">
                  <c:v>835.35545440073258</c:v>
                </c:pt>
                <c:pt idx="438">
                  <c:v>826.65117621041202</c:v>
                </c:pt>
                <c:pt idx="439">
                  <c:v>817.88490633882179</c:v>
                </c:pt>
                <c:pt idx="440">
                  <c:v>809.05717639647492</c:v>
                </c:pt>
                <c:pt idx="441">
                  <c:v>800.16851832810403</c:v>
                </c:pt>
                <c:pt idx="442">
                  <c:v>791.2194643262452</c:v>
                </c:pt>
                <c:pt idx="443">
                  <c:v>782.21054674579648</c:v>
                </c:pt>
                <c:pt idx="444">
                  <c:v>773.14229801957106</c:v>
                </c:pt>
                <c:pt idx="445">
                  <c:v>764.01525057486106</c:v>
                </c:pt>
                <c:pt idx="446">
                  <c:v>754.8299367510308</c:v>
                </c:pt>
                <c:pt idx="447">
                  <c:v>745.58688871815366</c:v>
                </c:pt>
                <c:pt idx="448">
                  <c:v>736.28663839670912</c:v>
                </c:pt>
                <c:pt idx="449">
                  <c:v>726.92971737835353</c:v>
                </c:pt>
                <c:pt idx="450">
                  <c:v>717.51665684777925</c:v>
                </c:pt>
                <c:pt idx="451">
                  <c:v>708.0479875056734</c:v>
                </c:pt>
                <c:pt idx="452">
                  <c:v>698.52423949278989</c:v>
                </c:pt>
                <c:pt idx="453">
                  <c:v>688.94594231514498</c:v>
                </c:pt>
                <c:pt idx="454">
                  <c:v>679.31362477034747</c:v>
                </c:pt>
                <c:pt idx="455">
                  <c:v>669.62781487507232</c:v>
                </c:pt>
                <c:pt idx="456">
                  <c:v>659.88903979368808</c:v>
                </c:pt>
                <c:pt idx="457">
                  <c:v>650.09782576804537</c:v>
                </c:pt>
                <c:pt idx="458">
                  <c:v>640.25469804843374</c:v>
                </c:pt>
                <c:pt idx="459">
                  <c:v>630.36018082571491</c:v>
                </c:pt>
                <c:pt idx="460">
                  <c:v>620.41479716463743</c:v>
                </c:pt>
                <c:pt idx="461">
                  <c:v>610.41906893833811</c:v>
                </c:pt>
                <c:pt idx="462">
                  <c:v>600.37351676403591</c:v>
                </c:pt>
                <c:pt idx="463">
                  <c:v>590.27865993992123</c:v>
                </c:pt>
                <c:pt idx="464">
                  <c:v>580.13501638324476</c:v>
                </c:pt>
                <c:pt idx="465">
                  <c:v>569.94310256960819</c:v>
                </c:pt>
                <c:pt idx="466">
                  <c:v>559.70343347345897</c:v>
                </c:pt>
                <c:pt idx="467">
                  <c:v>549.41652250979052</c:v>
                </c:pt>
                <c:pt idx="468">
                  <c:v>539.08288147704889</c:v>
                </c:pt>
                <c:pt idx="469">
                  <c:v>528.70302050124599</c:v>
                </c:pt>
                <c:pt idx="470">
                  <c:v>518.27744798127924</c:v>
                </c:pt>
                <c:pt idx="471">
                  <c:v>507.80667053545636</c:v>
                </c:pt>
                <c:pt idx="472">
                  <c:v>497.29119294922401</c:v>
                </c:pt>
                <c:pt idx="473">
                  <c:v>486.73151812409827</c:v>
                </c:pt>
                <c:pt idx="474">
                  <c:v>476.12814702779451</c:v>
                </c:pt>
                <c:pt idx="475">
                  <c:v>465.48157864555327</c:v>
                </c:pt>
                <c:pt idx="476">
                  <c:v>454.79230993265884</c:v>
                </c:pt>
                <c:pt idx="477">
                  <c:v>444.06083576814603</c:v>
                </c:pt>
                <c:pt idx="478">
                  <c:v>433.28764890969126</c:v>
                </c:pt>
                <c:pt idx="479">
                  <c:v>422.47323994968195</c:v>
                </c:pt>
                <c:pt idx="480">
                  <c:v>411.61809727245986</c:v>
                </c:pt>
                <c:pt idx="481">
                  <c:v>400.72270701273135</c:v>
                </c:pt>
                <c:pt idx="482">
                  <c:v>389.78755301513888</c:v>
                </c:pt>
                <c:pt idx="483">
                  <c:v>378.81311679498674</c:v>
                </c:pt>
                <c:pt idx="484">
                  <c:v>367.79987750011395</c:v>
                </c:pt>
                <c:pt idx="485">
                  <c:v>356.74831187390652</c:v>
                </c:pt>
                <c:pt idx="486">
                  <c:v>345.65889421944121</c:v>
                </c:pt>
                <c:pt idx="487">
                  <c:v>334.53209636475293</c:v>
                </c:pt>
                <c:pt idx="488">
                  <c:v>323.36838762921633</c:v>
                </c:pt>
                <c:pt idx="489">
                  <c:v>312.16823479103329</c:v>
                </c:pt>
                <c:pt idx="490">
                  <c:v>300.9321020558167</c:v>
                </c:pt>
                <c:pt idx="491">
                  <c:v>289.66045102626094</c:v>
                </c:pt>
                <c:pt idx="492">
                  <c:v>278.35374067288922</c:v>
                </c:pt>
                <c:pt idx="493">
                  <c:v>267.01242730586762</c:v>
                </c:pt>
                <c:pt idx="494">
                  <c:v>255.63696454787535</c:v>
                </c:pt>
                <c:pt idx="495">
                  <c:v>244.22780330802038</c:v>
                </c:pt>
                <c:pt idx="496">
                  <c:v>232.78539175678983</c:v>
                </c:pt>
                <c:pt idx="497">
                  <c:v>221.31017530202354</c:v>
                </c:pt>
                <c:pt idx="498">
                  <c:v>209.80259656589985</c:v>
                </c:pt>
                <c:pt idx="499">
                  <c:v>198.26309536292155</c:v>
                </c:pt>
                <c:pt idx="500">
                  <c:v>186.69210867889058</c:v>
                </c:pt>
                <c:pt idx="501">
                  <c:v>175.09007065085922</c:v>
                </c:pt>
                <c:pt idx="502">
                  <c:v>163.45741254804574</c:v>
                </c:pt>
                <c:pt idx="503">
                  <c:v>151.79456275370222</c:v>
                </c:pt>
                <c:pt idx="504">
                  <c:v>140.10194674792206</c:v>
                </c:pt>
                <c:pt idx="505">
                  <c:v>128.37998709137443</c:v>
                </c:pt>
                <c:pt idx="506">
                  <c:v>116.62910340995313</c:v>
                </c:pt>
                <c:pt idx="507">
                  <c:v>104.84971238032698</c:v>
                </c:pt>
                <c:pt idx="508">
                  <c:v>93.042227716378562</c:v>
                </c:pt>
                <c:pt idx="509">
                  <c:v>81.207060156518594</c:v>
                </c:pt>
                <c:pt idx="510">
                  <c:v>69.34461745186249</c:v>
                </c:pt>
                <c:pt idx="511">
                  <c:v>57.455304355256125</c:v>
                </c:pt>
                <c:pt idx="512">
                  <c:v>45.539522611137272</c:v>
                </c:pt>
                <c:pt idx="513">
                  <c:v>33.597670946219623</c:v>
                </c:pt>
                <c:pt idx="514">
                  <c:v>21.630145060985761</c:v>
                </c:pt>
                <c:pt idx="515">
                  <c:v>9.6373376219757922</c:v>
                </c:pt>
                <c:pt idx="516">
                  <c:v>-2.3803617451419008</c:v>
                </c:pt>
                <c:pt idx="517">
                  <c:v>-2.3923918056035842</c:v>
                </c:pt>
                <c:pt idx="518">
                  <c:v>-2.4044218903779</c:v>
                </c:pt>
                <c:pt idx="519">
                  <c:v>-2.4164519994644666</c:v>
                </c:pt>
                <c:pt idx="520">
                  <c:v>-2.4284821328629027</c:v>
                </c:pt>
                <c:pt idx="521">
                  <c:v>-2.4405122905728271</c:v>
                </c:pt>
                <c:pt idx="522">
                  <c:v>-2.4525424725938589</c:v>
                </c:pt>
                <c:pt idx="523">
                  <c:v>-2.464572678925617</c:v>
                </c:pt>
                <c:pt idx="524">
                  <c:v>-2.47660290956772</c:v>
                </c:pt>
                <c:pt idx="525">
                  <c:v>-2.4886331645197868</c:v>
                </c:pt>
                <c:pt idx="526">
                  <c:v>-2.5006634437814363</c:v>
                </c:pt>
                <c:pt idx="527">
                  <c:v>-2.5126937473522872</c:v>
                </c:pt>
                <c:pt idx="528">
                  <c:v>-2.5247240752319584</c:v>
                </c:pt>
                <c:pt idx="529">
                  <c:v>-2.5367544274200688</c:v>
                </c:pt>
                <c:pt idx="530">
                  <c:v>-2.5487848039162371</c:v>
                </c:pt>
                <c:pt idx="531">
                  <c:v>-2.5608152047200821</c:v>
                </c:pt>
                <c:pt idx="532">
                  <c:v>-2.5728456298312228</c:v>
                </c:pt>
                <c:pt idx="533">
                  <c:v>-2.5848760792492782</c:v>
                </c:pt>
                <c:pt idx="534">
                  <c:v>-2.5969065529738669</c:v>
                </c:pt>
                <c:pt idx="535">
                  <c:v>-2.6089370510046077</c:v>
                </c:pt>
                <c:pt idx="536">
                  <c:v>-2.6209675733411197</c:v>
                </c:pt>
                <c:pt idx="537">
                  <c:v>-2.6329981199830215</c:v>
                </c:pt>
                <c:pt idx="538">
                  <c:v>-2.6450286909299323</c:v>
                </c:pt>
                <c:pt idx="539">
                  <c:v>-2.6570592861814708</c:v>
                </c:pt>
                <c:pt idx="540">
                  <c:v>-2.6690899057372559</c:v>
                </c:pt>
                <c:pt idx="541">
                  <c:v>-2.6811205495969066</c:v>
                </c:pt>
                <c:pt idx="542">
                  <c:v>-2.6931512177600414</c:v>
                </c:pt>
                <c:pt idx="543">
                  <c:v>-2.7051819102262793</c:v>
                </c:pt>
                <c:pt idx="544">
                  <c:v>-2.7172126269952397</c:v>
                </c:pt>
                <c:pt idx="545">
                  <c:v>-2.7292433680665407</c:v>
                </c:pt>
                <c:pt idx="546">
                  <c:v>-2.7412741334398016</c:v>
                </c:pt>
                <c:pt idx="547">
                  <c:v>-2.7533049231146416</c:v>
                </c:pt>
                <c:pt idx="548">
                  <c:v>-2.765335737090679</c:v>
                </c:pt>
                <c:pt idx="549">
                  <c:v>-2.777366575367533</c:v>
                </c:pt>
                <c:pt idx="550">
                  <c:v>-2.7893974379448228</c:v>
                </c:pt>
                <c:pt idx="551">
                  <c:v>-2.801428324822167</c:v>
                </c:pt>
                <c:pt idx="552">
                  <c:v>-2.8134592359991841</c:v>
                </c:pt>
                <c:pt idx="553">
                  <c:v>-2.8254901714754936</c:v>
                </c:pt>
                <c:pt idx="554">
                  <c:v>-2.8375211312507145</c:v>
                </c:pt>
                <c:pt idx="555">
                  <c:v>-2.8495521153244652</c:v>
                </c:pt>
                <c:pt idx="556">
                  <c:v>-2.8615831236963651</c:v>
                </c:pt>
                <c:pt idx="557">
                  <c:v>-2.8736141563660329</c:v>
                </c:pt>
                <c:pt idx="558">
                  <c:v>-2.8856452133330874</c:v>
                </c:pt>
                <c:pt idx="559">
                  <c:v>-2.8976762945971477</c:v>
                </c:pt>
                <c:pt idx="560">
                  <c:v>-2.9097074001578327</c:v>
                </c:pt>
                <c:pt idx="561">
                  <c:v>-2.9217385300147614</c:v>
                </c:pt>
                <c:pt idx="562">
                  <c:v>-2.9337696841675527</c:v>
                </c:pt>
                <c:pt idx="563">
                  <c:v>-2.9458008626158256</c:v>
                </c:pt>
                <c:pt idx="564">
                  <c:v>-2.9578320653591987</c:v>
                </c:pt>
                <c:pt idx="565">
                  <c:v>-2.9698632923972914</c:v>
                </c:pt>
                <c:pt idx="566">
                  <c:v>-2.9818945437297226</c:v>
                </c:pt>
                <c:pt idx="567">
                  <c:v>-2.9939258193561109</c:v>
                </c:pt>
                <c:pt idx="568">
                  <c:v>-3.0059571192760757</c:v>
                </c:pt>
                <c:pt idx="569">
                  <c:v>-3.0179884434892355</c:v>
                </c:pt>
                <c:pt idx="570">
                  <c:v>-3.0300197919952097</c:v>
                </c:pt>
                <c:pt idx="571">
                  <c:v>-3.0420511647936168</c:v>
                </c:pt>
                <c:pt idx="572">
                  <c:v>-3.0540825618840763</c:v>
                </c:pt>
                <c:pt idx="573">
                  <c:v>-3.0661139832662072</c:v>
                </c:pt>
                <c:pt idx="574">
                  <c:v>-3.0781454289396279</c:v>
                </c:pt>
                <c:pt idx="575">
                  <c:v>-3.090176898903958</c:v>
                </c:pt>
                <c:pt idx="576">
                  <c:v>-3.1022083931588158</c:v>
                </c:pt>
                <c:pt idx="577">
                  <c:v>-3.1142399117038209</c:v>
                </c:pt>
                <c:pt idx="578">
                  <c:v>-3.1262714545385921</c:v>
                </c:pt>
                <c:pt idx="579">
                  <c:v>-3.1383030216627481</c:v>
                </c:pt>
                <c:pt idx="580">
                  <c:v>-3.1503346130759082</c:v>
                </c:pt>
                <c:pt idx="581">
                  <c:v>-3.1623662287776915</c:v>
                </c:pt>
                <c:pt idx="582">
                  <c:v>-3.1743978687677168</c:v>
                </c:pt>
                <c:pt idx="583">
                  <c:v>-3.1864295330456032</c:v>
                </c:pt>
                <c:pt idx="584">
                  <c:v>-3.1984612216109696</c:v>
                </c:pt>
                <c:pt idx="585">
                  <c:v>-3.210492934463435</c:v>
                </c:pt>
                <c:pt idx="586">
                  <c:v>-3.2225246716026184</c:v>
                </c:pt>
                <c:pt idx="587">
                  <c:v>-3.2345564330281391</c:v>
                </c:pt>
                <c:pt idx="588">
                  <c:v>-3.2465882187396158</c:v>
                </c:pt>
                <c:pt idx="589">
                  <c:v>-3.2586200287366678</c:v>
                </c:pt>
                <c:pt idx="590">
                  <c:v>-3.2706518630189141</c:v>
                </c:pt>
                <c:pt idx="591">
                  <c:v>-3.2826837215859732</c:v>
                </c:pt>
                <c:pt idx="592">
                  <c:v>-3.2947156044374646</c:v>
                </c:pt>
                <c:pt idx="593">
                  <c:v>-3.3067475115730072</c:v>
                </c:pt>
                <c:pt idx="594">
                  <c:v>-3.3187794429922204</c:v>
                </c:pt>
                <c:pt idx="595">
                  <c:v>-3.3308113986947228</c:v>
                </c:pt>
                <c:pt idx="596">
                  <c:v>-3.3428433786801337</c:v>
                </c:pt>
                <c:pt idx="597">
                  <c:v>-3.3548753829480717</c:v>
                </c:pt>
                <c:pt idx="598">
                  <c:v>-3.3669074114981563</c:v>
                </c:pt>
                <c:pt idx="599">
                  <c:v>-3.3789394643300064</c:v>
                </c:pt>
                <c:pt idx="600">
                  <c:v>-3.3909715414432413</c:v>
                </c:pt>
                <c:pt idx="601">
                  <c:v>-3.4030036428374797</c:v>
                </c:pt>
                <c:pt idx="602">
                  <c:v>-3.4150357685123409</c:v>
                </c:pt>
                <c:pt idx="603">
                  <c:v>-3.427067918467444</c:v>
                </c:pt>
                <c:pt idx="604">
                  <c:v>-3.4391000927024078</c:v>
                </c:pt>
                <c:pt idx="605">
                  <c:v>-3.4511322912168514</c:v>
                </c:pt>
                <c:pt idx="606">
                  <c:v>-3.4631645140103942</c:v>
                </c:pt>
                <c:pt idx="607">
                  <c:v>-3.4751967610826551</c:v>
                </c:pt>
                <c:pt idx="608">
                  <c:v>-3.4872290324332531</c:v>
                </c:pt>
                <c:pt idx="609">
                  <c:v>-3.4992613280618072</c:v>
                </c:pt>
                <c:pt idx="610">
                  <c:v>-3.5112936479679369</c:v>
                </c:pt>
                <c:pt idx="611">
                  <c:v>-3.523325992151261</c:v>
                </c:pt>
                <c:pt idx="612">
                  <c:v>-3.5353583606113985</c:v>
                </c:pt>
                <c:pt idx="613">
                  <c:v>-3.5473907533479685</c:v>
                </c:pt>
                <c:pt idx="614">
                  <c:v>-3.5594231703605903</c:v>
                </c:pt>
                <c:pt idx="615">
                  <c:v>-3.5714556116488829</c:v>
                </c:pt>
                <c:pt idx="616">
                  <c:v>-3.5834880772124653</c:v>
                </c:pt>
                <c:pt idx="617">
                  <c:v>-3.5955205670509569</c:v>
                </c:pt>
                <c:pt idx="618">
                  <c:v>-3.6075530811639767</c:v>
                </c:pt>
                <c:pt idx="619">
                  <c:v>-3.6195856195511436</c:v>
                </c:pt>
                <c:pt idx="620">
                  <c:v>-3.6316181822120766</c:v>
                </c:pt>
                <c:pt idx="621">
                  <c:v>-3.6436507691463951</c:v>
                </c:pt>
                <c:pt idx="622">
                  <c:v>-3.6556833803537181</c:v>
                </c:pt>
                <c:pt idx="623">
                  <c:v>-3.667716015833665</c:v>
                </c:pt>
                <c:pt idx="624">
                  <c:v>-3.6797486755858548</c:v>
                </c:pt>
                <c:pt idx="625">
                  <c:v>-3.6917813596099065</c:v>
                </c:pt>
                <c:pt idx="626">
                  <c:v>-3.7038140679054394</c:v>
                </c:pt>
                <c:pt idx="627">
                  <c:v>-3.7158468004720726</c:v>
                </c:pt>
                <c:pt idx="628">
                  <c:v>-3.727879557309425</c:v>
                </c:pt>
                <c:pt idx="629">
                  <c:v>-3.739912338417116</c:v>
                </c:pt>
                <c:pt idx="630">
                  <c:v>-3.7519451437947646</c:v>
                </c:pt>
                <c:pt idx="631">
                  <c:v>-3.7639779734419903</c:v>
                </c:pt>
                <c:pt idx="632">
                  <c:v>-3.7760108273584119</c:v>
                </c:pt>
                <c:pt idx="633">
                  <c:v>-3.7880437055436484</c:v>
                </c:pt>
                <c:pt idx="634">
                  <c:v>-3.8000766079973194</c:v>
                </c:pt>
                <c:pt idx="635">
                  <c:v>-3.8121095347190437</c:v>
                </c:pt>
                <c:pt idx="636">
                  <c:v>-3.8241424857084407</c:v>
                </c:pt>
                <c:pt idx="637">
                  <c:v>-3.8361754609651295</c:v>
                </c:pt>
                <c:pt idx="638">
                  <c:v>-3.8482084604887294</c:v>
                </c:pt>
                <c:pt idx="639">
                  <c:v>-3.8602414842788595</c:v>
                </c:pt>
                <c:pt idx="640">
                  <c:v>-3.8722745323351386</c:v>
                </c:pt>
                <c:pt idx="641">
                  <c:v>-3.8843076046571863</c:v>
                </c:pt>
                <c:pt idx="642">
                  <c:v>-3.8963407012446218</c:v>
                </c:pt>
                <c:pt idx="643">
                  <c:v>-3.9083738220970643</c:v>
                </c:pt>
                <c:pt idx="644">
                  <c:v>-3.9204069672141326</c:v>
                </c:pt>
                <c:pt idx="645">
                  <c:v>-3.9324401365954462</c:v>
                </c:pt>
                <c:pt idx="646">
                  <c:v>-3.9444733302406241</c:v>
                </c:pt>
                <c:pt idx="647">
                  <c:v>-3.9565065481492856</c:v>
                </c:pt>
                <c:pt idx="648">
                  <c:v>-3.9685397903210502</c:v>
                </c:pt>
                <c:pt idx="649">
                  <c:v>-3.9805730567555369</c:v>
                </c:pt>
                <c:pt idx="650">
                  <c:v>-3.9926063474523645</c:v>
                </c:pt>
                <c:pt idx="651">
                  <c:v>-4.0046396624111527</c:v>
                </c:pt>
                <c:pt idx="652">
                  <c:v>-4.0166730016315206</c:v>
                </c:pt>
                <c:pt idx="653">
                  <c:v>-4.0287063651130879</c:v>
                </c:pt>
                <c:pt idx="654">
                  <c:v>-4.0407397528554725</c:v>
                </c:pt>
                <c:pt idx="655">
                  <c:v>-4.0527731648582952</c:v>
                </c:pt>
                <c:pt idx="656">
                  <c:v>-4.0648066011211741</c:v>
                </c:pt>
                <c:pt idx="657">
                  <c:v>-4.076840061643729</c:v>
                </c:pt>
                <c:pt idx="658">
                  <c:v>-4.088873546425579</c:v>
                </c:pt>
                <c:pt idx="659">
                  <c:v>-4.1009070554663429</c:v>
                </c:pt>
                <c:pt idx="660">
                  <c:v>-4.1129405887656407</c:v>
                </c:pt>
                <c:pt idx="661">
                  <c:v>-4.1249741463230905</c:v>
                </c:pt>
                <c:pt idx="662">
                  <c:v>-4.1370077281383129</c:v>
                </c:pt>
                <c:pt idx="663">
                  <c:v>-4.149041334210926</c:v>
                </c:pt>
                <c:pt idx="664">
                  <c:v>-4.1610749645405498</c:v>
                </c:pt>
                <c:pt idx="665">
                  <c:v>-4.1731086191268032</c:v>
                </c:pt>
                <c:pt idx="666">
                  <c:v>-4.185142297969306</c:v>
                </c:pt>
                <c:pt idx="667">
                  <c:v>-4.1971760010676764</c:v>
                </c:pt>
                <c:pt idx="668">
                  <c:v>-4.2092097284215351</c:v>
                </c:pt>
                <c:pt idx="669">
                  <c:v>-4.2212434800305001</c:v>
                </c:pt>
                <c:pt idx="670">
                  <c:v>-4.2332772558941913</c:v>
                </c:pt>
                <c:pt idx="671">
                  <c:v>-4.2453110560122278</c:v>
                </c:pt>
                <c:pt idx="672">
                  <c:v>-4.2573448803842284</c:v>
                </c:pt>
                <c:pt idx="673">
                  <c:v>-4.2693787290098131</c:v>
                </c:pt>
                <c:pt idx="674">
                  <c:v>-4.2814126018886007</c:v>
                </c:pt>
                <c:pt idx="675">
                  <c:v>-4.2934464990202112</c:v>
                </c:pt>
                <c:pt idx="676">
                  <c:v>-4.3054804204042636</c:v>
                </c:pt>
                <c:pt idx="677">
                  <c:v>-4.3175143660403767</c:v>
                </c:pt>
                <c:pt idx="678">
                  <c:v>-4.3295483359281697</c:v>
                </c:pt>
                <c:pt idx="679">
                  <c:v>-4.3415823300672622</c:v>
                </c:pt>
                <c:pt idx="680">
                  <c:v>-4.3536163484572743</c:v>
                </c:pt>
                <c:pt idx="681">
                  <c:v>-4.3656503910978239</c:v>
                </c:pt>
                <c:pt idx="682">
                  <c:v>-4.377684457988531</c:v>
                </c:pt>
                <c:pt idx="683">
                  <c:v>-4.3897185491290154</c:v>
                </c:pt>
                <c:pt idx="684">
                  <c:v>-4.401752664518896</c:v>
                </c:pt>
                <c:pt idx="685">
                  <c:v>-4.4137868041577919</c:v>
                </c:pt>
                <c:pt idx="686">
                  <c:v>-4.425820968045322</c:v>
                </c:pt>
                <c:pt idx="687">
                  <c:v>-4.4378551561811062</c:v>
                </c:pt>
                <c:pt idx="688">
                  <c:v>-4.4498893685647642</c:v>
                </c:pt>
                <c:pt idx="689">
                  <c:v>-4.4619236051959152</c:v>
                </c:pt>
                <c:pt idx="690">
                  <c:v>-4.4739578660741781</c:v>
                </c:pt>
                <c:pt idx="691">
                  <c:v>-4.4859921511991718</c:v>
                </c:pt>
                <c:pt idx="692">
                  <c:v>-4.4980264605705162</c:v>
                </c:pt>
                <c:pt idx="693">
                  <c:v>-4.5100607941878312</c:v>
                </c:pt>
                <c:pt idx="694">
                  <c:v>-4.5220951520507358</c:v>
                </c:pt>
                <c:pt idx="695">
                  <c:v>-4.5341295341588488</c:v>
                </c:pt>
                <c:pt idx="696">
                  <c:v>-4.5461639405117893</c:v>
                </c:pt>
                <c:pt idx="697">
                  <c:v>-4.5581983711091771</c:v>
                </c:pt>
                <c:pt idx="698">
                  <c:v>-4.5702328259506322</c:v>
                </c:pt>
                <c:pt idx="699">
                  <c:v>-4.5822673050357734</c:v>
                </c:pt>
                <c:pt idx="700">
                  <c:v>-4.5943018083642198</c:v>
                </c:pt>
                <c:pt idx="701">
                  <c:v>-4.6063363359355911</c:v>
                </c:pt>
                <c:pt idx="702">
                  <c:v>-4.6183708877495064</c:v>
                </c:pt>
                <c:pt idx="703">
                  <c:v>-4.6304054638055856</c:v>
                </c:pt>
                <c:pt idx="704">
                  <c:v>-4.6424400641034476</c:v>
                </c:pt>
                <c:pt idx="705">
                  <c:v>-4.6544746886427122</c:v>
                </c:pt>
                <c:pt idx="706">
                  <c:v>-4.6665093374229984</c:v>
                </c:pt>
                <c:pt idx="707">
                  <c:v>-4.6785440104439253</c:v>
                </c:pt>
                <c:pt idx="708">
                  <c:v>-4.6905787077051126</c:v>
                </c:pt>
                <c:pt idx="709">
                  <c:v>-4.7026134292061803</c:v>
                </c:pt>
                <c:pt idx="710">
                  <c:v>-4.7146481749467473</c:v>
                </c:pt>
                <c:pt idx="711">
                  <c:v>-4.7266829449264325</c:v>
                </c:pt>
                <c:pt idx="712">
                  <c:v>-4.7387177391448558</c:v>
                </c:pt>
                <c:pt idx="713">
                  <c:v>-4.7507525576016363</c:v>
                </c:pt>
                <c:pt idx="714">
                  <c:v>-4.7627874002963937</c:v>
                </c:pt>
                <c:pt idx="715">
                  <c:v>-4.7748222672287479</c:v>
                </c:pt>
                <c:pt idx="716">
                  <c:v>-4.786857158398317</c:v>
                </c:pt>
                <c:pt idx="717">
                  <c:v>-4.7988920738047218</c:v>
                </c:pt>
                <c:pt idx="718">
                  <c:v>-4.8109270134475812</c:v>
                </c:pt>
                <c:pt idx="719">
                  <c:v>-4.8229619773265142</c:v>
                </c:pt>
                <c:pt idx="720">
                  <c:v>-4.8349969654411407</c:v>
                </c:pt>
                <c:pt idx="721">
                  <c:v>-4.8470319777910795</c:v>
                </c:pt>
                <c:pt idx="722">
                  <c:v>-4.8590670143759507</c:v>
                </c:pt>
                <c:pt idx="723">
                  <c:v>-4.8711020751953731</c:v>
                </c:pt>
                <c:pt idx="724">
                  <c:v>-4.8831371602489666</c:v>
                </c:pt>
                <c:pt idx="725">
                  <c:v>-4.8951722695363502</c:v>
                </c:pt>
                <c:pt idx="726">
                  <c:v>-4.9072074030571438</c:v>
                </c:pt>
                <c:pt idx="727">
                  <c:v>-4.9192425608109671</c:v>
                </c:pt>
                <c:pt idx="728">
                  <c:v>-4.9312777427974392</c:v>
                </c:pt>
                <c:pt idx="729">
                  <c:v>-4.9433129490161791</c:v>
                </c:pt>
                <c:pt idx="730">
                  <c:v>-4.9553481794668066</c:v>
                </c:pt>
                <c:pt idx="731">
                  <c:v>-4.9673834341489416</c:v>
                </c:pt>
                <c:pt idx="732">
                  <c:v>-4.979418713062203</c:v>
                </c:pt>
                <c:pt idx="733">
                  <c:v>-4.9914540162062107</c:v>
                </c:pt>
                <c:pt idx="734">
                  <c:v>-5.0034893435805836</c:v>
                </c:pt>
                <c:pt idx="735">
                  <c:v>-5.0155246951849417</c:v>
                </c:pt>
                <c:pt idx="736">
                  <c:v>-5.0275600710189039</c:v>
                </c:pt>
                <c:pt idx="737">
                  <c:v>-5.0395954710820901</c:v>
                </c:pt>
                <c:pt idx="738">
                  <c:v>-5.0516308953741191</c:v>
                </c:pt>
                <c:pt idx="739">
                  <c:v>-5.063666343894611</c:v>
                </c:pt>
                <c:pt idx="740">
                  <c:v>-5.0757018166431855</c:v>
                </c:pt>
                <c:pt idx="741">
                  <c:v>-5.0877373136194617</c:v>
                </c:pt>
                <c:pt idx="742">
                  <c:v>-5.0997728348230593</c:v>
                </c:pt>
                <c:pt idx="743">
                  <c:v>-5.1118083802535974</c:v>
                </c:pt>
                <c:pt idx="744">
                  <c:v>-5.1238439499106958</c:v>
                </c:pt>
                <c:pt idx="745">
                  <c:v>-5.1358795437939744</c:v>
                </c:pt>
                <c:pt idx="746">
                  <c:v>-5.1479151619030521</c:v>
                </c:pt>
                <c:pt idx="747">
                  <c:v>-5.1599508042375479</c:v>
                </c:pt>
                <c:pt idx="748">
                  <c:v>-5.1719864707970826</c:v>
                </c:pt>
                <c:pt idx="749">
                  <c:v>-5.1840221615812752</c:v>
                </c:pt>
                <c:pt idx="750">
                  <c:v>-5.1960578765897445</c:v>
                </c:pt>
                <c:pt idx="751">
                  <c:v>-5.2080936158221105</c:v>
                </c:pt>
                <c:pt idx="752">
                  <c:v>-5.220129379277993</c:v>
                </c:pt>
                <c:pt idx="753">
                  <c:v>-5.2321651669570111</c:v>
                </c:pt>
                <c:pt idx="754">
                  <c:v>-5.2442009788587844</c:v>
                </c:pt>
                <c:pt idx="755">
                  <c:v>-5.256236814982933</c:v>
                </c:pt>
                <c:pt idx="756">
                  <c:v>-5.2682726753290758</c:v>
                </c:pt>
                <c:pt idx="757">
                  <c:v>-5.2803085598968327</c:v>
                </c:pt>
                <c:pt idx="758">
                  <c:v>-5.2923444686858225</c:v>
                </c:pt>
                <c:pt idx="759">
                  <c:v>-5.3043804016956662</c:v>
                </c:pt>
                <c:pt idx="760">
                  <c:v>-5.3164163589259816</c:v>
                </c:pt>
                <c:pt idx="761">
                  <c:v>-5.3284523403763897</c:v>
                </c:pt>
                <c:pt idx="762">
                  <c:v>-5.3404883460465093</c:v>
                </c:pt>
                <c:pt idx="763">
                  <c:v>-5.3525243759359595</c:v>
                </c:pt>
                <c:pt idx="764">
                  <c:v>-5.364560430044361</c:v>
                </c:pt>
                <c:pt idx="765">
                  <c:v>-5.3765965083713327</c:v>
                </c:pt>
                <c:pt idx="766">
                  <c:v>-5.3886326109164946</c:v>
                </c:pt>
                <c:pt idx="767">
                  <c:v>-5.4006687376794655</c:v>
                </c:pt>
                <c:pt idx="768">
                  <c:v>-5.4127048886598654</c:v>
                </c:pt>
                <c:pt idx="769">
                  <c:v>-5.4247410638573141</c:v>
                </c:pt>
                <c:pt idx="770">
                  <c:v>-5.4367772632714306</c:v>
                </c:pt>
                <c:pt idx="771">
                  <c:v>-5.4488134869018348</c:v>
                </c:pt>
                <c:pt idx="772">
                  <c:v>-5.4608497347481464</c:v>
                </c:pt>
                <c:pt idx="773">
                  <c:v>-5.4728860068099845</c:v>
                </c:pt>
                <c:pt idx="774">
                  <c:v>-5.4849223030869689</c:v>
                </c:pt>
                <c:pt idx="775">
                  <c:v>-5.4969586235787196</c:v>
                </c:pt>
                <c:pt idx="776">
                  <c:v>-5.5089949682848554</c:v>
                </c:pt>
                <c:pt idx="777">
                  <c:v>-5.5210313372049971</c:v>
                </c:pt>
                <c:pt idx="778">
                  <c:v>-5.5330677303387628</c:v>
                </c:pt>
                <c:pt idx="779">
                  <c:v>-5.5451041476857732</c:v>
                </c:pt>
                <c:pt idx="780">
                  <c:v>-5.5571405892456474</c:v>
                </c:pt>
                <c:pt idx="781">
                  <c:v>-5.5691770550180051</c:v>
                </c:pt>
                <c:pt idx="782">
                  <c:v>-5.5812135450024662</c:v>
                </c:pt>
                <c:pt idx="783">
                  <c:v>-5.5932500591986498</c:v>
                </c:pt>
                <c:pt idx="784">
                  <c:v>-5.6052865976061756</c:v>
                </c:pt>
                <c:pt idx="785">
                  <c:v>-5.6173231602246636</c:v>
                </c:pt>
                <c:pt idx="786">
                  <c:v>-5.6293597470537335</c:v>
                </c:pt>
                <c:pt idx="787">
                  <c:v>-5.6413963580930044</c:v>
                </c:pt>
                <c:pt idx="788">
                  <c:v>-5.6534329933420961</c:v>
                </c:pt>
                <c:pt idx="789">
                  <c:v>-5.6654696528006285</c:v>
                </c:pt>
                <c:pt idx="790">
                  <c:v>-5.6775063364682214</c:v>
                </c:pt>
                <c:pt idx="791">
                  <c:v>-5.6895430443444939</c:v>
                </c:pt>
                <c:pt idx="792">
                  <c:v>-5.7015797764290657</c:v>
                </c:pt>
                <c:pt idx="793">
                  <c:v>-5.7136165327215567</c:v>
                </c:pt>
                <c:pt idx="794">
                  <c:v>-5.7256533132215859</c:v>
                </c:pt>
                <c:pt idx="795">
                  <c:v>-5.737690117928774</c:v>
                </c:pt>
                <c:pt idx="796">
                  <c:v>-5.7497269468427401</c:v>
                </c:pt>
                <c:pt idx="797">
                  <c:v>-5.7617637999631039</c:v>
                </c:pt>
                <c:pt idx="798">
                  <c:v>-5.7738006772894845</c:v>
                </c:pt>
                <c:pt idx="799">
                  <c:v>-5.7858375788215026</c:v>
                </c:pt>
                <c:pt idx="800">
                  <c:v>-5.7978745045587772</c:v>
                </c:pt>
                <c:pt idx="801">
                  <c:v>-5.8099114545009281</c:v>
                </c:pt>
                <c:pt idx="802">
                  <c:v>-5.8219484286475742</c:v>
                </c:pt>
                <c:pt idx="803">
                  <c:v>-5.8339854269983364</c:v>
                </c:pt>
                <c:pt idx="804">
                  <c:v>-5.8460224495528337</c:v>
                </c:pt>
                <c:pt idx="805">
                  <c:v>-5.8580594963106858</c:v>
                </c:pt>
                <c:pt idx="806">
                  <c:v>-5.8700965672715126</c:v>
                </c:pt>
                <c:pt idx="807">
                  <c:v>-5.8821336624349341</c:v>
                </c:pt>
                <c:pt idx="808">
                  <c:v>-5.8941707818005691</c:v>
                </c:pt>
                <c:pt idx="809">
                  <c:v>-5.9062079253680384</c:v>
                </c:pt>
                <c:pt idx="810">
                  <c:v>-5.918245093136961</c:v>
                </c:pt>
                <c:pt idx="811">
                  <c:v>-5.9302822851069568</c:v>
                </c:pt>
                <c:pt idx="812">
                  <c:v>-5.9423195012776455</c:v>
                </c:pt>
                <c:pt idx="813">
                  <c:v>-5.9543567416486463</c:v>
                </c:pt>
                <c:pt idx="814">
                  <c:v>-5.9663940062195797</c:v>
                </c:pt>
                <c:pt idx="815">
                  <c:v>-5.9784312949900649</c:v>
                </c:pt>
                <c:pt idx="816">
                  <c:v>-5.9904686079597216</c:v>
                </c:pt>
                <c:pt idx="817">
                  <c:v>-6.0025059451281697</c:v>
                </c:pt>
                <c:pt idx="818">
                  <c:v>-6.0145433064950282</c:v>
                </c:pt>
                <c:pt idx="819">
                  <c:v>-6.0265806920599179</c:v>
                </c:pt>
                <c:pt idx="820">
                  <c:v>-6.0386181018224576</c:v>
                </c:pt>
                <c:pt idx="821">
                  <c:v>-6.0506555357822682</c:v>
                </c:pt>
                <c:pt idx="822">
                  <c:v>-6.0626929939389687</c:v>
                </c:pt>
                <c:pt idx="823">
                  <c:v>-6.0747304762921788</c:v>
                </c:pt>
                <c:pt idx="824">
                  <c:v>-6.0867679828415184</c:v>
                </c:pt>
                <c:pt idx="825">
                  <c:v>-6.0988055135866066</c:v>
                </c:pt>
                <c:pt idx="826">
                  <c:v>-6.110843068527064</c:v>
                </c:pt>
                <c:pt idx="827">
                  <c:v>-6.1228806476625097</c:v>
                </c:pt>
                <c:pt idx="828">
                  <c:v>-6.1349182509925635</c:v>
                </c:pt>
                <c:pt idx="829">
                  <c:v>-6.1469558785168461</c:v>
                </c:pt>
                <c:pt idx="830">
                  <c:v>-6.1589935302349765</c:v>
                </c:pt>
                <c:pt idx="831">
                  <c:v>-6.1710312061465746</c:v>
                </c:pt>
                <c:pt idx="832">
                  <c:v>-6.1830689062512594</c:v>
                </c:pt>
                <c:pt idx="833">
                  <c:v>-6.1951066305486515</c:v>
                </c:pt>
                <c:pt idx="834">
                  <c:v>-6.2071443790383709</c:v>
                </c:pt>
                <c:pt idx="835">
                  <c:v>-6.2191821517200365</c:v>
                </c:pt>
                <c:pt idx="836">
                  <c:v>-6.2312199485932691</c:v>
                </c:pt>
                <c:pt idx="837">
                  <c:v>-6.2432577696576876</c:v>
                </c:pt>
                <c:pt idx="838">
                  <c:v>-6.255295614912912</c:v>
                </c:pt>
                <c:pt idx="839">
                  <c:v>-6.267333484358562</c:v>
                </c:pt>
                <c:pt idx="840">
                  <c:v>-6.2793713779942575</c:v>
                </c:pt>
                <c:pt idx="841">
                  <c:v>-6.2914092958196184</c:v>
                </c:pt>
                <c:pt idx="842">
                  <c:v>-6.3034472378342645</c:v>
                </c:pt>
                <c:pt idx="843">
                  <c:v>-6.3154852040378158</c:v>
                </c:pt>
                <c:pt idx="844">
                  <c:v>-6.3275231944298911</c:v>
                </c:pt>
                <c:pt idx="845">
                  <c:v>-6.3395612090101112</c:v>
                </c:pt>
                <c:pt idx="846">
                  <c:v>-6.351599247778096</c:v>
                </c:pt>
                <c:pt idx="847">
                  <c:v>-6.3636373107334645</c:v>
                </c:pt>
                <c:pt idx="848">
                  <c:v>-6.3756753978758374</c:v>
                </c:pt>
                <c:pt idx="849">
                  <c:v>-6.3877135092048336</c:v>
                </c:pt>
                <c:pt idx="850">
                  <c:v>-6.3997516447200731</c:v>
                </c:pt>
                <c:pt idx="851">
                  <c:v>-6.4117898044211765</c:v>
                </c:pt>
                <c:pt idx="852">
                  <c:v>-6.4238279883077629</c:v>
                </c:pt>
                <c:pt idx="853">
                  <c:v>-6.4358661963794521</c:v>
                </c:pt>
                <c:pt idx="854">
                  <c:v>-6.447904428635864</c:v>
                </c:pt>
                <c:pt idx="855">
                  <c:v>-6.4599426850766184</c:v>
                </c:pt>
                <c:pt idx="856">
                  <c:v>-6.4719809657013352</c:v>
                </c:pt>
                <c:pt idx="857">
                  <c:v>-6.4840192705096342</c:v>
                </c:pt>
                <c:pt idx="858">
                  <c:v>-6.4960575995011354</c:v>
                </c:pt>
                <c:pt idx="859">
                  <c:v>-6.5080959526754585</c:v>
                </c:pt>
                <c:pt idx="860">
                  <c:v>-6.5201343300322234</c:v>
                </c:pt>
                <c:pt idx="861">
                  <c:v>-6.5321727315710501</c:v>
                </c:pt>
                <c:pt idx="862">
                  <c:v>-6.5442111572915582</c:v>
                </c:pt>
                <c:pt idx="863">
                  <c:v>-6.5562496071933678</c:v>
                </c:pt>
                <c:pt idx="864">
                  <c:v>-6.5682880812760986</c:v>
                </c:pt>
                <c:pt idx="865">
                  <c:v>-6.5803265795393706</c:v>
                </c:pt>
                <c:pt idx="866">
                  <c:v>-6.5923651019828036</c:v>
                </c:pt>
                <c:pt idx="867">
                  <c:v>-6.6044036486060174</c:v>
                </c:pt>
                <c:pt idx="868">
                  <c:v>-6.6164422194086319</c:v>
                </c:pt>
                <c:pt idx="869">
                  <c:v>-6.6284808143902669</c:v>
                </c:pt>
                <c:pt idx="870">
                  <c:v>-6.6405194335505424</c:v>
                </c:pt>
                <c:pt idx="871">
                  <c:v>-6.6525580768890782</c:v>
                </c:pt>
                <c:pt idx="872">
                  <c:v>-6.6645967444054941</c:v>
                </c:pt>
                <c:pt idx="873">
                  <c:v>-6.67663543609941</c:v>
                </c:pt>
                <c:pt idx="874">
                  <c:v>-6.6886741519704458</c:v>
                </c:pt>
                <c:pt idx="875">
                  <c:v>-6.7007128920182213</c:v>
                </c:pt>
                <c:pt idx="876">
                  <c:v>-6.7127516562423564</c:v>
                </c:pt>
                <c:pt idx="877">
                  <c:v>-6.7247904446424709</c:v>
                </c:pt>
                <c:pt idx="878">
                  <c:v>-6.7368292572181856</c:v>
                </c:pt>
                <c:pt idx="879">
                  <c:v>-6.7488680939691195</c:v>
                </c:pt>
                <c:pt idx="880">
                  <c:v>-6.7609069548948924</c:v>
                </c:pt>
                <c:pt idx="881">
                  <c:v>-6.772945839995125</c:v>
                </c:pt>
                <c:pt idx="882">
                  <c:v>-6.7849847492694364</c:v>
                </c:pt>
                <c:pt idx="883">
                  <c:v>-6.7970236827174473</c:v>
                </c:pt>
                <c:pt idx="884">
                  <c:v>-6.8090626403387766</c:v>
                </c:pt>
                <c:pt idx="885">
                  <c:v>-6.8211016221330452</c:v>
                </c:pt>
                <c:pt idx="886">
                  <c:v>-6.8331406280998719</c:v>
                </c:pt>
                <c:pt idx="887">
                  <c:v>-6.8451796582388775</c:v>
                </c:pt>
                <c:pt idx="888">
                  <c:v>-6.857218712549682</c:v>
                </c:pt>
                <c:pt idx="889">
                  <c:v>-6.869257791031905</c:v>
                </c:pt>
                <c:pt idx="890">
                  <c:v>-6.8812968936851666</c:v>
                </c:pt>
                <c:pt idx="891">
                  <c:v>-6.8933360205090866</c:v>
                </c:pt>
                <c:pt idx="892">
                  <c:v>-6.9053751715032847</c:v>
                </c:pt>
                <c:pt idx="893">
                  <c:v>-6.917414346667381</c:v>
                </c:pt>
                <c:pt idx="894">
                  <c:v>-6.9294535460009961</c:v>
                </c:pt>
                <c:pt idx="895">
                  <c:v>-6.9414927695037489</c:v>
                </c:pt>
                <c:pt idx="896">
                  <c:v>-6.9535320171752604</c:v>
                </c:pt>
                <c:pt idx="897">
                  <c:v>-6.9655712890151502</c:v>
                </c:pt>
                <c:pt idx="898">
                  <c:v>-6.9776105850230374</c:v>
                </c:pt>
                <c:pt idx="899">
                  <c:v>-6.9896499051985428</c:v>
                </c:pt>
                <c:pt idx="900">
                  <c:v>-7.0016892495412861</c:v>
                </c:pt>
                <c:pt idx="901">
                  <c:v>-7.0137286180508873</c:v>
                </c:pt>
                <c:pt idx="902">
                  <c:v>-7.0257680107269671</c:v>
                </c:pt>
                <c:pt idx="903">
                  <c:v>-7.0378074275691445</c:v>
                </c:pt>
                <c:pt idx="904">
                  <c:v>-7.0498468685770392</c:v>
                </c:pt>
                <c:pt idx="905">
                  <c:v>-7.0618863337502722</c:v>
                </c:pt>
                <c:pt idx="906">
                  <c:v>-7.0739258230884632</c:v>
                </c:pt>
                <c:pt idx="907">
                  <c:v>-7.0859653365912321</c:v>
                </c:pt>
                <c:pt idx="908">
                  <c:v>-7.0980048742581987</c:v>
                </c:pt>
                <c:pt idx="909">
                  <c:v>-7.110044436088983</c:v>
                </c:pt>
                <c:pt idx="910">
                  <c:v>-7.1220840220832056</c:v>
                </c:pt>
                <c:pt idx="911">
                  <c:v>-7.1341236322404855</c:v>
                </c:pt>
                <c:pt idx="912">
                  <c:v>-7.1461632665604435</c:v>
                </c:pt>
                <c:pt idx="913">
                  <c:v>-7.1582029250426995</c:v>
                </c:pt>
                <c:pt idx="914">
                  <c:v>-7.1702426076868733</c:v>
                </c:pt>
                <c:pt idx="915">
                  <c:v>-7.1822823144925847</c:v>
                </c:pt>
                <c:pt idx="916">
                  <c:v>-7.1943220454594536</c:v>
                </c:pt>
                <c:pt idx="917">
                  <c:v>-7.2063618005871009</c:v>
                </c:pt>
                <c:pt idx="918">
                  <c:v>-7.2184015798751453</c:v>
                </c:pt>
                <c:pt idx="919">
                  <c:v>-7.2304413833232077</c:v>
                </c:pt>
                <c:pt idx="920">
                  <c:v>-7.242481210930908</c:v>
                </c:pt>
                <c:pt idx="921">
                  <c:v>-7.2545210626978669</c:v>
                </c:pt>
                <c:pt idx="922">
                  <c:v>-7.2665609386237033</c:v>
                </c:pt>
                <c:pt idx="923">
                  <c:v>-7.2786008387080381</c:v>
                </c:pt>
                <c:pt idx="924">
                  <c:v>-7.290640762950491</c:v>
                </c:pt>
                <c:pt idx="925">
                  <c:v>-7.302680711350682</c:v>
                </c:pt>
                <c:pt idx="926">
                  <c:v>-7.3147206839082308</c:v>
                </c:pt>
                <c:pt idx="927">
                  <c:v>-7.3267606806227574</c:v>
                </c:pt>
                <c:pt idx="928">
                  <c:v>-7.3388007014938825</c:v>
                </c:pt>
                <c:pt idx="929">
                  <c:v>-7.350840746521226</c:v>
                </c:pt>
                <c:pt idx="930">
                  <c:v>-7.3628808157044077</c:v>
                </c:pt>
                <c:pt idx="931">
                  <c:v>-7.3749209090430474</c:v>
                </c:pt>
                <c:pt idx="932">
                  <c:v>-7.386961026536766</c:v>
                </c:pt>
                <c:pt idx="933">
                  <c:v>-7.3990011681851833</c:v>
                </c:pt>
                <c:pt idx="934">
                  <c:v>-7.4110413339879191</c:v>
                </c:pt>
                <c:pt idx="935">
                  <c:v>-7.4230815239445933</c:v>
                </c:pt>
                <c:pt idx="936">
                  <c:v>-7.4351217380548258</c:v>
                </c:pt>
                <c:pt idx="937">
                  <c:v>-7.4471619763182373</c:v>
                </c:pt>
                <c:pt idx="938">
                  <c:v>-7.4592022387344477</c:v>
                </c:pt>
                <c:pt idx="939">
                  <c:v>-7.4712425253030768</c:v>
                </c:pt>
                <c:pt idx="940">
                  <c:v>-7.4832828360237453</c:v>
                </c:pt>
                <c:pt idx="941">
                  <c:v>-7.4953231708960733</c:v>
                </c:pt>
                <c:pt idx="942">
                  <c:v>-7.5073635299196804</c:v>
                </c:pt>
                <c:pt idx="943">
                  <c:v>-7.5194039130941865</c:v>
                </c:pt>
                <c:pt idx="944">
                  <c:v>-7.5314443204192116</c:v>
                </c:pt>
                <c:pt idx="945">
                  <c:v>-7.5434847518943764</c:v>
                </c:pt>
                <c:pt idx="946">
                  <c:v>-7.5555252075193007</c:v>
                </c:pt>
                <c:pt idx="947">
                  <c:v>-7.5675656872936052</c:v>
                </c:pt>
                <c:pt idx="948">
                  <c:v>-7.579606191216909</c:v>
                </c:pt>
                <c:pt idx="949">
                  <c:v>-7.5916467192888328</c:v>
                </c:pt>
                <c:pt idx="950">
                  <c:v>-7.6036872715089974</c:v>
                </c:pt>
                <c:pt idx="951">
                  <c:v>-7.6157278478770216</c:v>
                </c:pt>
                <c:pt idx="952">
                  <c:v>-7.6277684483925263</c:v>
                </c:pt>
                <c:pt idx="953">
                  <c:v>-7.6398090730551313</c:v>
                </c:pt>
                <c:pt idx="954">
                  <c:v>-7.6518497218644566</c:v>
                </c:pt>
                <c:pt idx="955">
                  <c:v>-7.6638903948201227</c:v>
                </c:pt>
                <c:pt idx="956">
                  <c:v>-7.6759310919217496</c:v>
                </c:pt>
                <c:pt idx="957">
                  <c:v>-7.6879718131689572</c:v>
                </c:pt>
                <c:pt idx="958">
                  <c:v>-7.7000125585613661</c:v>
                </c:pt>
                <c:pt idx="959">
                  <c:v>-7.7120533280985963</c:v>
                </c:pt>
                <c:pt idx="960">
                  <c:v>-7.7240941217802677</c:v>
                </c:pt>
                <c:pt idx="961">
                  <c:v>-7.7361349396060008</c:v>
                </c:pt>
                <c:pt idx="962">
                  <c:v>-7.7481757815754158</c:v>
                </c:pt>
                <c:pt idx="963">
                  <c:v>-7.7602166476881322</c:v>
                </c:pt>
                <c:pt idx="964">
                  <c:v>-7.7722575379437711</c:v>
                </c:pt>
                <c:pt idx="965">
                  <c:v>-7.7842984523419521</c:v>
                </c:pt>
                <c:pt idx="966">
                  <c:v>-7.7963393908822951</c:v>
                </c:pt>
                <c:pt idx="967">
                  <c:v>-7.8083803535644201</c:v>
                </c:pt>
                <c:pt idx="968">
                  <c:v>-7.8204213403879477</c:v>
                </c:pt>
                <c:pt idx="969">
                  <c:v>-7.8324623513524987</c:v>
                </c:pt>
                <c:pt idx="970">
                  <c:v>-7.8445033864576921</c:v>
                </c:pt>
                <c:pt idx="971">
                  <c:v>-7.8565444457031495</c:v>
                </c:pt>
                <c:pt idx="972">
                  <c:v>-7.8685855290884898</c:v>
                </c:pt>
                <c:pt idx="973">
                  <c:v>-7.880626636613334</c:v>
                </c:pt>
                <c:pt idx="974">
                  <c:v>-7.8926677682773017</c:v>
                </c:pt>
                <c:pt idx="975">
                  <c:v>-7.9047089240800128</c:v>
                </c:pt>
                <c:pt idx="976">
                  <c:v>-7.9167501040210881</c:v>
                </c:pt>
                <c:pt idx="977">
                  <c:v>-7.9287913081001475</c:v>
                </c:pt>
                <c:pt idx="978">
                  <c:v>-7.9408325363168117</c:v>
                </c:pt>
                <c:pt idx="979">
                  <c:v>-7.9528737886707006</c:v>
                </c:pt>
                <c:pt idx="980">
                  <c:v>-7.9649150651614349</c:v>
                </c:pt>
                <c:pt idx="981">
                  <c:v>-7.9769563657886335</c:v>
                </c:pt>
                <c:pt idx="982">
                  <c:v>-7.9889976905519182</c:v>
                </c:pt>
                <c:pt idx="983">
                  <c:v>-8.0010390394509088</c:v>
                </c:pt>
                <c:pt idx="984">
                  <c:v>-8.0130804124852251</c:v>
                </c:pt>
                <c:pt idx="985">
                  <c:v>-8.0251218096544861</c:v>
                </c:pt>
                <c:pt idx="986">
                  <c:v>-8.0371632309583134</c:v>
                </c:pt>
                <c:pt idx="987">
                  <c:v>-8.049204676396327</c:v>
                </c:pt>
                <c:pt idx="988">
                  <c:v>-8.0612461459681484</c:v>
                </c:pt>
                <c:pt idx="989">
                  <c:v>-8.0732876396733957</c:v>
                </c:pt>
                <c:pt idx="990">
                  <c:v>-8.0853291575116906</c:v>
                </c:pt>
                <c:pt idx="991">
                  <c:v>-8.0973706994826529</c:v>
                </c:pt>
                <c:pt idx="992">
                  <c:v>-8.1094122655859024</c:v>
                </c:pt>
                <c:pt idx="993">
                  <c:v>-8.1214538558210609</c:v>
                </c:pt>
                <c:pt idx="994">
                  <c:v>-8.1334954701877464</c:v>
                </c:pt>
                <c:pt idx="995">
                  <c:v>-8.1455371086855806</c:v>
                </c:pt>
                <c:pt idx="996">
                  <c:v>-8.1575787713141832</c:v>
                </c:pt>
                <c:pt idx="997">
                  <c:v>-8.1696204580731742</c:v>
                </c:pt>
                <c:pt idx="998">
                  <c:v>-8.1816621689621751</c:v>
                </c:pt>
                <c:pt idx="999">
                  <c:v>-8.1937039039808059</c:v>
                </c:pt>
                <c:pt idx="1000">
                  <c:v>-8.2057456631286865</c:v>
                </c:pt>
              </c:numCache>
            </c:numRef>
          </c:yVal>
          <c:smooth val="1"/>
          <c:extLst>
            <c:ext xmlns:c16="http://schemas.microsoft.com/office/drawing/2014/chart" uri="{C3380CC4-5D6E-409C-BE32-E72D297353CC}">
              <c16:uniqueId val="{00000001-4C7F-469F-ADED-1B0B28F452E1}"/>
            </c:ext>
          </c:extLst>
        </c:ser>
        <c:ser>
          <c:idx val="1"/>
          <c:order val="2"/>
          <c:tx>
            <c:strRef>
              <c:f>Trajecto!$B$108</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33.600100000000211</c:v>
                </c:pt>
                <c:pt idx="518">
                  <c:v>33.600200000000214</c:v>
                </c:pt>
                <c:pt idx="519">
                  <c:v>33.600300000000217</c:v>
                </c:pt>
                <c:pt idx="520">
                  <c:v>33.600400000000221</c:v>
                </c:pt>
                <c:pt idx="521">
                  <c:v>33.600500000000224</c:v>
                </c:pt>
                <c:pt idx="522">
                  <c:v>33.600600000000227</c:v>
                </c:pt>
                <c:pt idx="523">
                  <c:v>33.600700000000231</c:v>
                </c:pt>
                <c:pt idx="524">
                  <c:v>33.600800000000234</c:v>
                </c:pt>
                <c:pt idx="525">
                  <c:v>33.600900000000237</c:v>
                </c:pt>
                <c:pt idx="526">
                  <c:v>33.601000000000241</c:v>
                </c:pt>
                <c:pt idx="527">
                  <c:v>33.601100000000244</c:v>
                </c:pt>
                <c:pt idx="528">
                  <c:v>33.601200000000247</c:v>
                </c:pt>
                <c:pt idx="529">
                  <c:v>33.601300000000251</c:v>
                </c:pt>
                <c:pt idx="530">
                  <c:v>33.601400000000254</c:v>
                </c:pt>
                <c:pt idx="531">
                  <c:v>33.601500000000257</c:v>
                </c:pt>
                <c:pt idx="532">
                  <c:v>33.601600000000261</c:v>
                </c:pt>
                <c:pt idx="533">
                  <c:v>33.601700000000264</c:v>
                </c:pt>
                <c:pt idx="534">
                  <c:v>33.601800000000267</c:v>
                </c:pt>
                <c:pt idx="535">
                  <c:v>33.601900000000271</c:v>
                </c:pt>
                <c:pt idx="536">
                  <c:v>33.602000000000274</c:v>
                </c:pt>
                <c:pt idx="537">
                  <c:v>33.602100000000277</c:v>
                </c:pt>
                <c:pt idx="538">
                  <c:v>33.602200000000281</c:v>
                </c:pt>
                <c:pt idx="539">
                  <c:v>33.602300000000284</c:v>
                </c:pt>
                <c:pt idx="540">
                  <c:v>33.602400000000287</c:v>
                </c:pt>
                <c:pt idx="541">
                  <c:v>33.60250000000029</c:v>
                </c:pt>
                <c:pt idx="542">
                  <c:v>33.602600000000294</c:v>
                </c:pt>
                <c:pt idx="543">
                  <c:v>33.602700000000297</c:v>
                </c:pt>
                <c:pt idx="544">
                  <c:v>33.6028000000003</c:v>
                </c:pt>
                <c:pt idx="545">
                  <c:v>33.602900000000304</c:v>
                </c:pt>
                <c:pt idx="546">
                  <c:v>33.603000000000307</c:v>
                </c:pt>
                <c:pt idx="547">
                  <c:v>33.60310000000031</c:v>
                </c:pt>
                <c:pt idx="548">
                  <c:v>33.603200000000314</c:v>
                </c:pt>
                <c:pt idx="549">
                  <c:v>33.603300000000317</c:v>
                </c:pt>
                <c:pt idx="550">
                  <c:v>33.60340000000032</c:v>
                </c:pt>
                <c:pt idx="551">
                  <c:v>33.603500000000324</c:v>
                </c:pt>
                <c:pt idx="552">
                  <c:v>33.603600000000327</c:v>
                </c:pt>
                <c:pt idx="553">
                  <c:v>33.60370000000033</c:v>
                </c:pt>
                <c:pt idx="554">
                  <c:v>33.603800000000334</c:v>
                </c:pt>
                <c:pt idx="555">
                  <c:v>33.603900000000337</c:v>
                </c:pt>
                <c:pt idx="556">
                  <c:v>33.60400000000034</c:v>
                </c:pt>
                <c:pt idx="557">
                  <c:v>33.604100000000344</c:v>
                </c:pt>
                <c:pt idx="558">
                  <c:v>33.604200000000347</c:v>
                </c:pt>
                <c:pt idx="559">
                  <c:v>33.60430000000035</c:v>
                </c:pt>
                <c:pt idx="560">
                  <c:v>33.604400000000354</c:v>
                </c:pt>
                <c:pt idx="561">
                  <c:v>33.604500000000357</c:v>
                </c:pt>
                <c:pt idx="562">
                  <c:v>33.60460000000036</c:v>
                </c:pt>
                <c:pt idx="563">
                  <c:v>33.604700000000364</c:v>
                </c:pt>
                <c:pt idx="564">
                  <c:v>33.604800000000367</c:v>
                </c:pt>
                <c:pt idx="565">
                  <c:v>33.60490000000037</c:v>
                </c:pt>
                <c:pt idx="566">
                  <c:v>33.605000000000373</c:v>
                </c:pt>
                <c:pt idx="567">
                  <c:v>33.605100000000377</c:v>
                </c:pt>
                <c:pt idx="568">
                  <c:v>33.60520000000038</c:v>
                </c:pt>
                <c:pt idx="569">
                  <c:v>33.605300000000383</c:v>
                </c:pt>
                <c:pt idx="570">
                  <c:v>33.605400000000387</c:v>
                </c:pt>
                <c:pt idx="571">
                  <c:v>33.60550000000039</c:v>
                </c:pt>
                <c:pt idx="572">
                  <c:v>33.605600000000393</c:v>
                </c:pt>
                <c:pt idx="573">
                  <c:v>33.605700000000397</c:v>
                </c:pt>
                <c:pt idx="574">
                  <c:v>33.6058000000004</c:v>
                </c:pt>
                <c:pt idx="575">
                  <c:v>33.605900000000403</c:v>
                </c:pt>
                <c:pt idx="576">
                  <c:v>33.606000000000407</c:v>
                </c:pt>
                <c:pt idx="577">
                  <c:v>33.60610000000041</c:v>
                </c:pt>
                <c:pt idx="578">
                  <c:v>33.606200000000413</c:v>
                </c:pt>
                <c:pt idx="579">
                  <c:v>33.606300000000417</c:v>
                </c:pt>
                <c:pt idx="580">
                  <c:v>33.60640000000042</c:v>
                </c:pt>
                <c:pt idx="581">
                  <c:v>33.606500000000423</c:v>
                </c:pt>
                <c:pt idx="582">
                  <c:v>33.606600000000427</c:v>
                </c:pt>
                <c:pt idx="583">
                  <c:v>33.60670000000043</c:v>
                </c:pt>
                <c:pt idx="584">
                  <c:v>33.606800000000433</c:v>
                </c:pt>
                <c:pt idx="585">
                  <c:v>33.606900000000437</c:v>
                </c:pt>
                <c:pt idx="586">
                  <c:v>33.60700000000044</c:v>
                </c:pt>
                <c:pt idx="587">
                  <c:v>33.607100000000443</c:v>
                </c:pt>
                <c:pt idx="588">
                  <c:v>33.607200000000446</c:v>
                </c:pt>
                <c:pt idx="589">
                  <c:v>33.60730000000045</c:v>
                </c:pt>
                <c:pt idx="590">
                  <c:v>33.607400000000453</c:v>
                </c:pt>
                <c:pt idx="591">
                  <c:v>33.607500000000456</c:v>
                </c:pt>
                <c:pt idx="592">
                  <c:v>33.60760000000046</c:v>
                </c:pt>
                <c:pt idx="593">
                  <c:v>33.607700000000463</c:v>
                </c:pt>
                <c:pt idx="594">
                  <c:v>33.607800000000466</c:v>
                </c:pt>
                <c:pt idx="595">
                  <c:v>33.60790000000047</c:v>
                </c:pt>
                <c:pt idx="596">
                  <c:v>33.608000000000473</c:v>
                </c:pt>
                <c:pt idx="597">
                  <c:v>33.608100000000476</c:v>
                </c:pt>
                <c:pt idx="598">
                  <c:v>33.60820000000048</c:v>
                </c:pt>
                <c:pt idx="599">
                  <c:v>33.608300000000483</c:v>
                </c:pt>
                <c:pt idx="600">
                  <c:v>33.608400000000486</c:v>
                </c:pt>
                <c:pt idx="601">
                  <c:v>33.60850000000049</c:v>
                </c:pt>
                <c:pt idx="602">
                  <c:v>33.608600000000493</c:v>
                </c:pt>
                <c:pt idx="603">
                  <c:v>33.608700000000496</c:v>
                </c:pt>
                <c:pt idx="604">
                  <c:v>33.6088000000005</c:v>
                </c:pt>
                <c:pt idx="605">
                  <c:v>33.608900000000503</c:v>
                </c:pt>
                <c:pt idx="606">
                  <c:v>33.609000000000506</c:v>
                </c:pt>
                <c:pt idx="607">
                  <c:v>33.60910000000051</c:v>
                </c:pt>
                <c:pt idx="608">
                  <c:v>33.609200000000513</c:v>
                </c:pt>
                <c:pt idx="609">
                  <c:v>33.609300000000516</c:v>
                </c:pt>
                <c:pt idx="610">
                  <c:v>33.60940000000052</c:v>
                </c:pt>
                <c:pt idx="611">
                  <c:v>33.609500000000523</c:v>
                </c:pt>
                <c:pt idx="612">
                  <c:v>33.609600000000526</c:v>
                </c:pt>
                <c:pt idx="613">
                  <c:v>33.609700000000529</c:v>
                </c:pt>
                <c:pt idx="614">
                  <c:v>33.609800000000533</c:v>
                </c:pt>
                <c:pt idx="615">
                  <c:v>33.609900000000536</c:v>
                </c:pt>
                <c:pt idx="616">
                  <c:v>33.610000000000539</c:v>
                </c:pt>
                <c:pt idx="617">
                  <c:v>33.610100000000543</c:v>
                </c:pt>
                <c:pt idx="618">
                  <c:v>33.610200000000546</c:v>
                </c:pt>
                <c:pt idx="619">
                  <c:v>33.610300000000549</c:v>
                </c:pt>
                <c:pt idx="620">
                  <c:v>33.610400000000553</c:v>
                </c:pt>
                <c:pt idx="621">
                  <c:v>33.610500000000556</c:v>
                </c:pt>
                <c:pt idx="622">
                  <c:v>33.610600000000559</c:v>
                </c:pt>
                <c:pt idx="623">
                  <c:v>33.610700000000563</c:v>
                </c:pt>
                <c:pt idx="624">
                  <c:v>33.610800000000566</c:v>
                </c:pt>
                <c:pt idx="625">
                  <c:v>33.610900000000569</c:v>
                </c:pt>
                <c:pt idx="626">
                  <c:v>33.611000000000573</c:v>
                </c:pt>
                <c:pt idx="627">
                  <c:v>33.611100000000576</c:v>
                </c:pt>
                <c:pt idx="628">
                  <c:v>33.611200000000579</c:v>
                </c:pt>
                <c:pt idx="629">
                  <c:v>33.611300000000583</c:v>
                </c:pt>
                <c:pt idx="630">
                  <c:v>33.611400000000586</c:v>
                </c:pt>
                <c:pt idx="631">
                  <c:v>33.611500000000589</c:v>
                </c:pt>
                <c:pt idx="632">
                  <c:v>33.611600000000593</c:v>
                </c:pt>
                <c:pt idx="633">
                  <c:v>33.611700000000596</c:v>
                </c:pt>
                <c:pt idx="634">
                  <c:v>33.611800000000599</c:v>
                </c:pt>
                <c:pt idx="635">
                  <c:v>33.611900000000603</c:v>
                </c:pt>
                <c:pt idx="636">
                  <c:v>33.612000000000606</c:v>
                </c:pt>
                <c:pt idx="637">
                  <c:v>33.612100000000609</c:v>
                </c:pt>
                <c:pt idx="638">
                  <c:v>33.612200000000612</c:v>
                </c:pt>
                <c:pt idx="639">
                  <c:v>33.612300000000616</c:v>
                </c:pt>
                <c:pt idx="640">
                  <c:v>33.612400000000619</c:v>
                </c:pt>
                <c:pt idx="641">
                  <c:v>33.612500000000622</c:v>
                </c:pt>
                <c:pt idx="642">
                  <c:v>33.612600000000626</c:v>
                </c:pt>
                <c:pt idx="643">
                  <c:v>33.612700000000629</c:v>
                </c:pt>
                <c:pt idx="644">
                  <c:v>33.612800000000632</c:v>
                </c:pt>
                <c:pt idx="645">
                  <c:v>33.612900000000636</c:v>
                </c:pt>
                <c:pt idx="646">
                  <c:v>33.613000000000639</c:v>
                </c:pt>
                <c:pt idx="647">
                  <c:v>33.613100000000642</c:v>
                </c:pt>
                <c:pt idx="648">
                  <c:v>33.613200000000646</c:v>
                </c:pt>
                <c:pt idx="649">
                  <c:v>33.613300000000649</c:v>
                </c:pt>
                <c:pt idx="650">
                  <c:v>33.613400000000652</c:v>
                </c:pt>
                <c:pt idx="651">
                  <c:v>33.613500000000656</c:v>
                </c:pt>
                <c:pt idx="652">
                  <c:v>33.613600000000659</c:v>
                </c:pt>
                <c:pt idx="653">
                  <c:v>33.613700000000662</c:v>
                </c:pt>
                <c:pt idx="654">
                  <c:v>33.613800000000666</c:v>
                </c:pt>
                <c:pt idx="655">
                  <c:v>33.613900000000669</c:v>
                </c:pt>
                <c:pt idx="656">
                  <c:v>33.614000000000672</c:v>
                </c:pt>
                <c:pt idx="657">
                  <c:v>33.614100000000676</c:v>
                </c:pt>
                <c:pt idx="658">
                  <c:v>33.614200000000679</c:v>
                </c:pt>
                <c:pt idx="659">
                  <c:v>33.614300000000682</c:v>
                </c:pt>
                <c:pt idx="660">
                  <c:v>33.614400000000686</c:v>
                </c:pt>
                <c:pt idx="661">
                  <c:v>33.614500000000689</c:v>
                </c:pt>
                <c:pt idx="662">
                  <c:v>33.614600000000692</c:v>
                </c:pt>
                <c:pt idx="663">
                  <c:v>33.614700000000695</c:v>
                </c:pt>
                <c:pt idx="664">
                  <c:v>33.614800000000699</c:v>
                </c:pt>
                <c:pt idx="665">
                  <c:v>33.614900000000702</c:v>
                </c:pt>
                <c:pt idx="666">
                  <c:v>33.615000000000705</c:v>
                </c:pt>
                <c:pt idx="667">
                  <c:v>33.615100000000709</c:v>
                </c:pt>
                <c:pt idx="668">
                  <c:v>33.615200000000712</c:v>
                </c:pt>
                <c:pt idx="669">
                  <c:v>33.615300000000715</c:v>
                </c:pt>
                <c:pt idx="670">
                  <c:v>33.615400000000719</c:v>
                </c:pt>
                <c:pt idx="671">
                  <c:v>33.615500000000722</c:v>
                </c:pt>
                <c:pt idx="672">
                  <c:v>33.615600000000725</c:v>
                </c:pt>
                <c:pt idx="673">
                  <c:v>33.615700000000729</c:v>
                </c:pt>
                <c:pt idx="674">
                  <c:v>33.615800000000732</c:v>
                </c:pt>
                <c:pt idx="675">
                  <c:v>33.615900000000735</c:v>
                </c:pt>
                <c:pt idx="676">
                  <c:v>33.616000000000739</c:v>
                </c:pt>
                <c:pt idx="677">
                  <c:v>33.616100000000742</c:v>
                </c:pt>
                <c:pt idx="678">
                  <c:v>33.616200000000745</c:v>
                </c:pt>
                <c:pt idx="679">
                  <c:v>33.616300000000749</c:v>
                </c:pt>
                <c:pt idx="680">
                  <c:v>33.616400000000752</c:v>
                </c:pt>
                <c:pt idx="681">
                  <c:v>33.616500000000755</c:v>
                </c:pt>
                <c:pt idx="682">
                  <c:v>33.616600000000759</c:v>
                </c:pt>
                <c:pt idx="683">
                  <c:v>33.616700000000762</c:v>
                </c:pt>
                <c:pt idx="684">
                  <c:v>33.616800000000765</c:v>
                </c:pt>
                <c:pt idx="685">
                  <c:v>33.616900000000769</c:v>
                </c:pt>
                <c:pt idx="686">
                  <c:v>33.617000000000772</c:v>
                </c:pt>
                <c:pt idx="687">
                  <c:v>33.617100000000775</c:v>
                </c:pt>
                <c:pt idx="688">
                  <c:v>33.617200000000778</c:v>
                </c:pt>
                <c:pt idx="689">
                  <c:v>33.617300000000782</c:v>
                </c:pt>
                <c:pt idx="690">
                  <c:v>33.617400000000785</c:v>
                </c:pt>
                <c:pt idx="691">
                  <c:v>33.617500000000788</c:v>
                </c:pt>
                <c:pt idx="692">
                  <c:v>33.617600000000792</c:v>
                </c:pt>
                <c:pt idx="693">
                  <c:v>33.617700000000795</c:v>
                </c:pt>
                <c:pt idx="694">
                  <c:v>33.617800000000798</c:v>
                </c:pt>
                <c:pt idx="695">
                  <c:v>33.617900000000802</c:v>
                </c:pt>
                <c:pt idx="696">
                  <c:v>33.618000000000805</c:v>
                </c:pt>
                <c:pt idx="697">
                  <c:v>33.618100000000808</c:v>
                </c:pt>
                <c:pt idx="698">
                  <c:v>33.618200000000812</c:v>
                </c:pt>
                <c:pt idx="699">
                  <c:v>33.618300000000815</c:v>
                </c:pt>
                <c:pt idx="700">
                  <c:v>33.618400000000818</c:v>
                </c:pt>
                <c:pt idx="701">
                  <c:v>33.618500000000822</c:v>
                </c:pt>
                <c:pt idx="702">
                  <c:v>33.618600000000825</c:v>
                </c:pt>
                <c:pt idx="703">
                  <c:v>33.618700000000828</c:v>
                </c:pt>
                <c:pt idx="704">
                  <c:v>33.618800000000832</c:v>
                </c:pt>
                <c:pt idx="705">
                  <c:v>33.618900000000835</c:v>
                </c:pt>
                <c:pt idx="706">
                  <c:v>33.619000000000838</c:v>
                </c:pt>
                <c:pt idx="707">
                  <c:v>33.619100000000842</c:v>
                </c:pt>
                <c:pt idx="708">
                  <c:v>33.619200000000845</c:v>
                </c:pt>
                <c:pt idx="709">
                  <c:v>33.619300000000848</c:v>
                </c:pt>
                <c:pt idx="710">
                  <c:v>33.619400000000851</c:v>
                </c:pt>
                <c:pt idx="711">
                  <c:v>33.619500000000855</c:v>
                </c:pt>
                <c:pt idx="712">
                  <c:v>33.619600000000858</c:v>
                </c:pt>
                <c:pt idx="713">
                  <c:v>33.619700000000861</c:v>
                </c:pt>
                <c:pt idx="714">
                  <c:v>33.619800000000865</c:v>
                </c:pt>
                <c:pt idx="715">
                  <c:v>33.619900000000868</c:v>
                </c:pt>
                <c:pt idx="716">
                  <c:v>33.620000000000871</c:v>
                </c:pt>
                <c:pt idx="717">
                  <c:v>33.620100000000875</c:v>
                </c:pt>
                <c:pt idx="718">
                  <c:v>33.620200000000878</c:v>
                </c:pt>
                <c:pt idx="719">
                  <c:v>33.620300000000881</c:v>
                </c:pt>
                <c:pt idx="720">
                  <c:v>33.620400000000885</c:v>
                </c:pt>
                <c:pt idx="721">
                  <c:v>33.620500000000888</c:v>
                </c:pt>
                <c:pt idx="722">
                  <c:v>33.620600000000891</c:v>
                </c:pt>
                <c:pt idx="723">
                  <c:v>33.620700000000895</c:v>
                </c:pt>
                <c:pt idx="724">
                  <c:v>33.620800000000898</c:v>
                </c:pt>
                <c:pt idx="725">
                  <c:v>33.620900000000901</c:v>
                </c:pt>
                <c:pt idx="726">
                  <c:v>33.621000000000905</c:v>
                </c:pt>
                <c:pt idx="727">
                  <c:v>33.621100000000908</c:v>
                </c:pt>
                <c:pt idx="728">
                  <c:v>33.621200000000911</c:v>
                </c:pt>
                <c:pt idx="729">
                  <c:v>33.621300000000915</c:v>
                </c:pt>
                <c:pt idx="730">
                  <c:v>33.621400000000918</c:v>
                </c:pt>
                <c:pt idx="731">
                  <c:v>33.621500000000921</c:v>
                </c:pt>
                <c:pt idx="732">
                  <c:v>33.621600000000925</c:v>
                </c:pt>
                <c:pt idx="733">
                  <c:v>33.621700000000928</c:v>
                </c:pt>
                <c:pt idx="734">
                  <c:v>33.621800000000931</c:v>
                </c:pt>
                <c:pt idx="735">
                  <c:v>33.621900000000934</c:v>
                </c:pt>
                <c:pt idx="736">
                  <c:v>33.622000000000938</c:v>
                </c:pt>
                <c:pt idx="737">
                  <c:v>33.622100000000941</c:v>
                </c:pt>
                <c:pt idx="738">
                  <c:v>33.622200000000944</c:v>
                </c:pt>
                <c:pt idx="739">
                  <c:v>33.622300000000948</c:v>
                </c:pt>
                <c:pt idx="740">
                  <c:v>33.622400000000951</c:v>
                </c:pt>
                <c:pt idx="741">
                  <c:v>33.622500000000954</c:v>
                </c:pt>
                <c:pt idx="742">
                  <c:v>33.622600000000958</c:v>
                </c:pt>
                <c:pt idx="743">
                  <c:v>33.622700000000961</c:v>
                </c:pt>
                <c:pt idx="744">
                  <c:v>33.622800000000964</c:v>
                </c:pt>
                <c:pt idx="745">
                  <c:v>33.622900000000968</c:v>
                </c:pt>
                <c:pt idx="746">
                  <c:v>33.623000000000971</c:v>
                </c:pt>
                <c:pt idx="747">
                  <c:v>33.623100000000974</c:v>
                </c:pt>
                <c:pt idx="748">
                  <c:v>33.623200000000978</c:v>
                </c:pt>
                <c:pt idx="749">
                  <c:v>33.623300000000981</c:v>
                </c:pt>
                <c:pt idx="750">
                  <c:v>33.623400000000984</c:v>
                </c:pt>
                <c:pt idx="751">
                  <c:v>33.623500000000988</c:v>
                </c:pt>
                <c:pt idx="752">
                  <c:v>33.623600000000991</c:v>
                </c:pt>
                <c:pt idx="753">
                  <c:v>33.623700000000994</c:v>
                </c:pt>
                <c:pt idx="754">
                  <c:v>33.623800000000998</c:v>
                </c:pt>
                <c:pt idx="755">
                  <c:v>33.623900000001001</c:v>
                </c:pt>
                <c:pt idx="756">
                  <c:v>33.624000000001004</c:v>
                </c:pt>
                <c:pt idx="757">
                  <c:v>33.624100000001008</c:v>
                </c:pt>
                <c:pt idx="758">
                  <c:v>33.624200000001011</c:v>
                </c:pt>
                <c:pt idx="759">
                  <c:v>33.624300000001014</c:v>
                </c:pt>
                <c:pt idx="760">
                  <c:v>33.624400000001017</c:v>
                </c:pt>
                <c:pt idx="761">
                  <c:v>33.624500000001021</c:v>
                </c:pt>
                <c:pt idx="762">
                  <c:v>33.624600000001024</c:v>
                </c:pt>
                <c:pt idx="763">
                  <c:v>33.624700000001027</c:v>
                </c:pt>
                <c:pt idx="764">
                  <c:v>33.624800000001031</c:v>
                </c:pt>
                <c:pt idx="765">
                  <c:v>33.624900000001034</c:v>
                </c:pt>
                <c:pt idx="766">
                  <c:v>33.625000000001037</c:v>
                </c:pt>
                <c:pt idx="767">
                  <c:v>33.625100000001041</c:v>
                </c:pt>
                <c:pt idx="768">
                  <c:v>33.625200000001044</c:v>
                </c:pt>
                <c:pt idx="769">
                  <c:v>33.625300000001047</c:v>
                </c:pt>
                <c:pt idx="770">
                  <c:v>33.625400000001051</c:v>
                </c:pt>
                <c:pt idx="771">
                  <c:v>33.625500000001054</c:v>
                </c:pt>
                <c:pt idx="772">
                  <c:v>33.625600000001057</c:v>
                </c:pt>
                <c:pt idx="773">
                  <c:v>33.625700000001061</c:v>
                </c:pt>
                <c:pt idx="774">
                  <c:v>33.625800000001064</c:v>
                </c:pt>
                <c:pt idx="775">
                  <c:v>33.625900000001067</c:v>
                </c:pt>
                <c:pt idx="776">
                  <c:v>33.626000000001071</c:v>
                </c:pt>
                <c:pt idx="777">
                  <c:v>33.626100000001074</c:v>
                </c:pt>
                <c:pt idx="778">
                  <c:v>33.626200000001077</c:v>
                </c:pt>
                <c:pt idx="779">
                  <c:v>33.626300000001081</c:v>
                </c:pt>
                <c:pt idx="780">
                  <c:v>33.626400000001084</c:v>
                </c:pt>
                <c:pt idx="781">
                  <c:v>33.626500000001087</c:v>
                </c:pt>
                <c:pt idx="782">
                  <c:v>33.626600000001091</c:v>
                </c:pt>
                <c:pt idx="783">
                  <c:v>33.626700000001094</c:v>
                </c:pt>
                <c:pt idx="784">
                  <c:v>33.626800000001097</c:v>
                </c:pt>
                <c:pt idx="785">
                  <c:v>33.6269000000011</c:v>
                </c:pt>
                <c:pt idx="786">
                  <c:v>33.627000000001104</c:v>
                </c:pt>
                <c:pt idx="787">
                  <c:v>33.627100000001107</c:v>
                </c:pt>
                <c:pt idx="788">
                  <c:v>33.62720000000111</c:v>
                </c:pt>
                <c:pt idx="789">
                  <c:v>33.627300000001114</c:v>
                </c:pt>
                <c:pt idx="790">
                  <c:v>33.627400000001117</c:v>
                </c:pt>
                <c:pt idx="791">
                  <c:v>33.62750000000112</c:v>
                </c:pt>
                <c:pt idx="792">
                  <c:v>33.627600000001124</c:v>
                </c:pt>
                <c:pt idx="793">
                  <c:v>33.627700000001127</c:v>
                </c:pt>
                <c:pt idx="794">
                  <c:v>33.62780000000113</c:v>
                </c:pt>
                <c:pt idx="795">
                  <c:v>33.627900000001134</c:v>
                </c:pt>
                <c:pt idx="796">
                  <c:v>33.628000000001137</c:v>
                </c:pt>
                <c:pt idx="797">
                  <c:v>33.62810000000114</c:v>
                </c:pt>
                <c:pt idx="798">
                  <c:v>33.628200000001144</c:v>
                </c:pt>
                <c:pt idx="799">
                  <c:v>33.628300000001147</c:v>
                </c:pt>
                <c:pt idx="800">
                  <c:v>33.62840000000115</c:v>
                </c:pt>
                <c:pt idx="801">
                  <c:v>33.628500000001154</c:v>
                </c:pt>
                <c:pt idx="802">
                  <c:v>33.628600000001157</c:v>
                </c:pt>
                <c:pt idx="803">
                  <c:v>33.62870000000116</c:v>
                </c:pt>
                <c:pt idx="804">
                  <c:v>33.628800000001164</c:v>
                </c:pt>
                <c:pt idx="805">
                  <c:v>33.628900000001167</c:v>
                </c:pt>
                <c:pt idx="806">
                  <c:v>33.62900000000117</c:v>
                </c:pt>
                <c:pt idx="807">
                  <c:v>33.629100000001173</c:v>
                </c:pt>
                <c:pt idx="808">
                  <c:v>33.629200000001177</c:v>
                </c:pt>
                <c:pt idx="809">
                  <c:v>33.62930000000118</c:v>
                </c:pt>
                <c:pt idx="810">
                  <c:v>33.629400000001183</c:v>
                </c:pt>
                <c:pt idx="811">
                  <c:v>33.629500000001187</c:v>
                </c:pt>
                <c:pt idx="812">
                  <c:v>33.62960000000119</c:v>
                </c:pt>
                <c:pt idx="813">
                  <c:v>33.629700000001193</c:v>
                </c:pt>
                <c:pt idx="814">
                  <c:v>33.629800000001197</c:v>
                </c:pt>
                <c:pt idx="815">
                  <c:v>33.6299000000012</c:v>
                </c:pt>
                <c:pt idx="816">
                  <c:v>33.630000000001203</c:v>
                </c:pt>
                <c:pt idx="817">
                  <c:v>33.630100000001207</c:v>
                </c:pt>
                <c:pt idx="818">
                  <c:v>33.63020000000121</c:v>
                </c:pt>
                <c:pt idx="819">
                  <c:v>33.630300000001213</c:v>
                </c:pt>
                <c:pt idx="820">
                  <c:v>33.630400000001217</c:v>
                </c:pt>
                <c:pt idx="821">
                  <c:v>33.63050000000122</c:v>
                </c:pt>
                <c:pt idx="822">
                  <c:v>33.630600000001223</c:v>
                </c:pt>
                <c:pt idx="823">
                  <c:v>33.630700000001227</c:v>
                </c:pt>
                <c:pt idx="824">
                  <c:v>33.63080000000123</c:v>
                </c:pt>
                <c:pt idx="825">
                  <c:v>33.630900000001233</c:v>
                </c:pt>
                <c:pt idx="826">
                  <c:v>33.631000000001237</c:v>
                </c:pt>
                <c:pt idx="827">
                  <c:v>33.63110000000124</c:v>
                </c:pt>
                <c:pt idx="828">
                  <c:v>33.631200000001243</c:v>
                </c:pt>
                <c:pt idx="829">
                  <c:v>33.631300000001247</c:v>
                </c:pt>
                <c:pt idx="830">
                  <c:v>33.63140000000125</c:v>
                </c:pt>
                <c:pt idx="831">
                  <c:v>33.631500000001253</c:v>
                </c:pt>
                <c:pt idx="832">
                  <c:v>33.631600000001256</c:v>
                </c:pt>
                <c:pt idx="833">
                  <c:v>33.63170000000126</c:v>
                </c:pt>
                <c:pt idx="834">
                  <c:v>33.631800000001263</c:v>
                </c:pt>
                <c:pt idx="835">
                  <c:v>33.631900000001266</c:v>
                </c:pt>
                <c:pt idx="836">
                  <c:v>33.63200000000127</c:v>
                </c:pt>
                <c:pt idx="837">
                  <c:v>33.632100000001273</c:v>
                </c:pt>
                <c:pt idx="838">
                  <c:v>33.632200000001276</c:v>
                </c:pt>
                <c:pt idx="839">
                  <c:v>33.63230000000128</c:v>
                </c:pt>
                <c:pt idx="840">
                  <c:v>33.632400000001283</c:v>
                </c:pt>
                <c:pt idx="841">
                  <c:v>33.632500000001286</c:v>
                </c:pt>
                <c:pt idx="842">
                  <c:v>33.63260000000129</c:v>
                </c:pt>
                <c:pt idx="843">
                  <c:v>33.632700000001293</c:v>
                </c:pt>
                <c:pt idx="844">
                  <c:v>33.632800000001296</c:v>
                </c:pt>
                <c:pt idx="845">
                  <c:v>33.6329000000013</c:v>
                </c:pt>
                <c:pt idx="846">
                  <c:v>33.633000000001303</c:v>
                </c:pt>
                <c:pt idx="847">
                  <c:v>33.633100000001306</c:v>
                </c:pt>
                <c:pt idx="848">
                  <c:v>33.63320000000131</c:v>
                </c:pt>
                <c:pt idx="849">
                  <c:v>33.633300000001313</c:v>
                </c:pt>
                <c:pt idx="850">
                  <c:v>33.633400000001316</c:v>
                </c:pt>
                <c:pt idx="851">
                  <c:v>33.63350000000132</c:v>
                </c:pt>
                <c:pt idx="852">
                  <c:v>33.633600000001323</c:v>
                </c:pt>
                <c:pt idx="853">
                  <c:v>33.633700000001326</c:v>
                </c:pt>
                <c:pt idx="854">
                  <c:v>33.63380000000133</c:v>
                </c:pt>
                <c:pt idx="855">
                  <c:v>33.633900000001333</c:v>
                </c:pt>
                <c:pt idx="856">
                  <c:v>33.634000000001336</c:v>
                </c:pt>
                <c:pt idx="857">
                  <c:v>33.634100000001339</c:v>
                </c:pt>
                <c:pt idx="858">
                  <c:v>33.634200000001343</c:v>
                </c:pt>
                <c:pt idx="859">
                  <c:v>33.634300000001346</c:v>
                </c:pt>
                <c:pt idx="860">
                  <c:v>33.634400000001349</c:v>
                </c:pt>
                <c:pt idx="861">
                  <c:v>33.634500000001353</c:v>
                </c:pt>
                <c:pt idx="862">
                  <c:v>33.634600000001356</c:v>
                </c:pt>
                <c:pt idx="863">
                  <c:v>33.634700000001359</c:v>
                </c:pt>
                <c:pt idx="864">
                  <c:v>33.634800000001363</c:v>
                </c:pt>
                <c:pt idx="865">
                  <c:v>33.634900000001366</c:v>
                </c:pt>
                <c:pt idx="866">
                  <c:v>33.635000000001369</c:v>
                </c:pt>
                <c:pt idx="867">
                  <c:v>33.635100000001373</c:v>
                </c:pt>
                <c:pt idx="868">
                  <c:v>33.635200000001376</c:v>
                </c:pt>
                <c:pt idx="869">
                  <c:v>33.635300000001379</c:v>
                </c:pt>
                <c:pt idx="870">
                  <c:v>33.635400000001383</c:v>
                </c:pt>
                <c:pt idx="871">
                  <c:v>33.635500000001386</c:v>
                </c:pt>
                <c:pt idx="872">
                  <c:v>33.635600000001389</c:v>
                </c:pt>
                <c:pt idx="873">
                  <c:v>33.635700000001393</c:v>
                </c:pt>
                <c:pt idx="874">
                  <c:v>33.635800000001396</c:v>
                </c:pt>
                <c:pt idx="875">
                  <c:v>33.635900000001399</c:v>
                </c:pt>
                <c:pt idx="876">
                  <c:v>33.636000000001403</c:v>
                </c:pt>
                <c:pt idx="877">
                  <c:v>33.636100000001406</c:v>
                </c:pt>
                <c:pt idx="878">
                  <c:v>33.636200000001409</c:v>
                </c:pt>
                <c:pt idx="879">
                  <c:v>33.636300000001413</c:v>
                </c:pt>
                <c:pt idx="880">
                  <c:v>33.636400000001416</c:v>
                </c:pt>
                <c:pt idx="881">
                  <c:v>33.636500000001419</c:v>
                </c:pt>
                <c:pt idx="882">
                  <c:v>33.636600000001422</c:v>
                </c:pt>
                <c:pt idx="883">
                  <c:v>33.636700000001426</c:v>
                </c:pt>
                <c:pt idx="884">
                  <c:v>33.636800000001429</c:v>
                </c:pt>
                <c:pt idx="885">
                  <c:v>33.636900000001432</c:v>
                </c:pt>
                <c:pt idx="886">
                  <c:v>33.637000000001436</c:v>
                </c:pt>
                <c:pt idx="887">
                  <c:v>33.637100000001439</c:v>
                </c:pt>
                <c:pt idx="888">
                  <c:v>33.637200000001442</c:v>
                </c:pt>
                <c:pt idx="889">
                  <c:v>33.637300000001446</c:v>
                </c:pt>
                <c:pt idx="890">
                  <c:v>33.637400000001449</c:v>
                </c:pt>
                <c:pt idx="891">
                  <c:v>33.637500000001452</c:v>
                </c:pt>
                <c:pt idx="892">
                  <c:v>33.637600000001456</c:v>
                </c:pt>
                <c:pt idx="893">
                  <c:v>33.637700000001459</c:v>
                </c:pt>
                <c:pt idx="894">
                  <c:v>33.637800000001462</c:v>
                </c:pt>
                <c:pt idx="895">
                  <c:v>33.637900000001466</c:v>
                </c:pt>
                <c:pt idx="896">
                  <c:v>33.638000000001469</c:v>
                </c:pt>
                <c:pt idx="897">
                  <c:v>33.638100000001472</c:v>
                </c:pt>
                <c:pt idx="898">
                  <c:v>33.638200000001476</c:v>
                </c:pt>
                <c:pt idx="899">
                  <c:v>33.638300000001479</c:v>
                </c:pt>
                <c:pt idx="900">
                  <c:v>33.638400000001482</c:v>
                </c:pt>
                <c:pt idx="901">
                  <c:v>33.638500000001486</c:v>
                </c:pt>
                <c:pt idx="902">
                  <c:v>33.638600000001489</c:v>
                </c:pt>
                <c:pt idx="903">
                  <c:v>33.638700000001492</c:v>
                </c:pt>
                <c:pt idx="904">
                  <c:v>33.638800000001496</c:v>
                </c:pt>
                <c:pt idx="905">
                  <c:v>33.638900000001499</c:v>
                </c:pt>
                <c:pt idx="906">
                  <c:v>33.639000000001502</c:v>
                </c:pt>
                <c:pt idx="907">
                  <c:v>33.639100000001505</c:v>
                </c:pt>
                <c:pt idx="908">
                  <c:v>33.639200000001509</c:v>
                </c:pt>
                <c:pt idx="909">
                  <c:v>33.639300000001512</c:v>
                </c:pt>
                <c:pt idx="910">
                  <c:v>33.639400000001515</c:v>
                </c:pt>
                <c:pt idx="911">
                  <c:v>33.639500000001519</c:v>
                </c:pt>
                <c:pt idx="912">
                  <c:v>33.639600000001522</c:v>
                </c:pt>
                <c:pt idx="913">
                  <c:v>33.639700000001525</c:v>
                </c:pt>
                <c:pt idx="914">
                  <c:v>33.639800000001529</c:v>
                </c:pt>
                <c:pt idx="915">
                  <c:v>33.639900000001532</c:v>
                </c:pt>
                <c:pt idx="916">
                  <c:v>33.640000000001535</c:v>
                </c:pt>
                <c:pt idx="917">
                  <c:v>33.640100000001539</c:v>
                </c:pt>
                <c:pt idx="918">
                  <c:v>33.640200000001542</c:v>
                </c:pt>
                <c:pt idx="919">
                  <c:v>33.640300000001545</c:v>
                </c:pt>
                <c:pt idx="920">
                  <c:v>33.640400000001549</c:v>
                </c:pt>
                <c:pt idx="921">
                  <c:v>33.640500000001552</c:v>
                </c:pt>
                <c:pt idx="922">
                  <c:v>33.640600000001555</c:v>
                </c:pt>
                <c:pt idx="923">
                  <c:v>33.640700000001559</c:v>
                </c:pt>
                <c:pt idx="924">
                  <c:v>33.640800000001562</c:v>
                </c:pt>
                <c:pt idx="925">
                  <c:v>33.640900000001565</c:v>
                </c:pt>
                <c:pt idx="926">
                  <c:v>33.641000000001569</c:v>
                </c:pt>
                <c:pt idx="927">
                  <c:v>33.641100000001572</c:v>
                </c:pt>
                <c:pt idx="928">
                  <c:v>33.641200000001575</c:v>
                </c:pt>
                <c:pt idx="929">
                  <c:v>33.641300000001578</c:v>
                </c:pt>
                <c:pt idx="930">
                  <c:v>33.641400000001582</c:v>
                </c:pt>
                <c:pt idx="931">
                  <c:v>33.641500000001585</c:v>
                </c:pt>
                <c:pt idx="932">
                  <c:v>33.641600000001588</c:v>
                </c:pt>
                <c:pt idx="933">
                  <c:v>33.641700000001592</c:v>
                </c:pt>
                <c:pt idx="934">
                  <c:v>33.641800000001595</c:v>
                </c:pt>
                <c:pt idx="935">
                  <c:v>33.641900000001598</c:v>
                </c:pt>
                <c:pt idx="936">
                  <c:v>33.642000000001602</c:v>
                </c:pt>
                <c:pt idx="937">
                  <c:v>33.642100000001605</c:v>
                </c:pt>
                <c:pt idx="938">
                  <c:v>33.642200000001608</c:v>
                </c:pt>
                <c:pt idx="939">
                  <c:v>33.642300000001612</c:v>
                </c:pt>
                <c:pt idx="940">
                  <c:v>33.642400000001615</c:v>
                </c:pt>
                <c:pt idx="941">
                  <c:v>33.642500000001618</c:v>
                </c:pt>
                <c:pt idx="942">
                  <c:v>33.642600000001622</c:v>
                </c:pt>
                <c:pt idx="943">
                  <c:v>33.642700000001625</c:v>
                </c:pt>
                <c:pt idx="944">
                  <c:v>33.642800000001628</c:v>
                </c:pt>
                <c:pt idx="945">
                  <c:v>33.642900000001632</c:v>
                </c:pt>
                <c:pt idx="946">
                  <c:v>33.643000000001635</c:v>
                </c:pt>
                <c:pt idx="947">
                  <c:v>33.643100000001638</c:v>
                </c:pt>
                <c:pt idx="948">
                  <c:v>33.643200000001642</c:v>
                </c:pt>
                <c:pt idx="949">
                  <c:v>33.643300000001645</c:v>
                </c:pt>
                <c:pt idx="950">
                  <c:v>33.643400000001648</c:v>
                </c:pt>
                <c:pt idx="951">
                  <c:v>33.643500000001652</c:v>
                </c:pt>
                <c:pt idx="952">
                  <c:v>33.643600000001655</c:v>
                </c:pt>
                <c:pt idx="953">
                  <c:v>33.643700000001658</c:v>
                </c:pt>
                <c:pt idx="954">
                  <c:v>33.643800000001661</c:v>
                </c:pt>
                <c:pt idx="955">
                  <c:v>33.643900000001665</c:v>
                </c:pt>
                <c:pt idx="956">
                  <c:v>33.644000000001668</c:v>
                </c:pt>
                <c:pt idx="957">
                  <c:v>33.644100000001671</c:v>
                </c:pt>
                <c:pt idx="958">
                  <c:v>33.644200000001675</c:v>
                </c:pt>
                <c:pt idx="959">
                  <c:v>33.644300000001678</c:v>
                </c:pt>
                <c:pt idx="960">
                  <c:v>33.644400000001681</c:v>
                </c:pt>
                <c:pt idx="961">
                  <c:v>33.644500000001685</c:v>
                </c:pt>
                <c:pt idx="962">
                  <c:v>33.644600000001688</c:v>
                </c:pt>
                <c:pt idx="963">
                  <c:v>33.644700000001691</c:v>
                </c:pt>
                <c:pt idx="964">
                  <c:v>33.644800000001695</c:v>
                </c:pt>
                <c:pt idx="965">
                  <c:v>33.644900000001698</c:v>
                </c:pt>
                <c:pt idx="966">
                  <c:v>33.645000000001701</c:v>
                </c:pt>
                <c:pt idx="967">
                  <c:v>33.645100000001705</c:v>
                </c:pt>
                <c:pt idx="968">
                  <c:v>33.645200000001708</c:v>
                </c:pt>
                <c:pt idx="969">
                  <c:v>33.645300000001711</c:v>
                </c:pt>
                <c:pt idx="970">
                  <c:v>33.645400000001715</c:v>
                </c:pt>
                <c:pt idx="971">
                  <c:v>33.645500000001718</c:v>
                </c:pt>
                <c:pt idx="972">
                  <c:v>33.645600000001721</c:v>
                </c:pt>
                <c:pt idx="973">
                  <c:v>33.645700000001725</c:v>
                </c:pt>
                <c:pt idx="974">
                  <c:v>33.645800000001728</c:v>
                </c:pt>
                <c:pt idx="975">
                  <c:v>33.645900000001731</c:v>
                </c:pt>
                <c:pt idx="976">
                  <c:v>33.646000000001735</c:v>
                </c:pt>
                <c:pt idx="977">
                  <c:v>33.646100000001738</c:v>
                </c:pt>
                <c:pt idx="978">
                  <c:v>33.646200000001741</c:v>
                </c:pt>
                <c:pt idx="979">
                  <c:v>33.646300000001744</c:v>
                </c:pt>
                <c:pt idx="980">
                  <c:v>33.646400000001748</c:v>
                </c:pt>
                <c:pt idx="981">
                  <c:v>33.646500000001751</c:v>
                </c:pt>
                <c:pt idx="982">
                  <c:v>33.646600000001754</c:v>
                </c:pt>
                <c:pt idx="983">
                  <c:v>33.646700000001758</c:v>
                </c:pt>
                <c:pt idx="984">
                  <c:v>33.646800000001761</c:v>
                </c:pt>
                <c:pt idx="985">
                  <c:v>33.646900000001764</c:v>
                </c:pt>
                <c:pt idx="986">
                  <c:v>33.647000000001768</c:v>
                </c:pt>
                <c:pt idx="987">
                  <c:v>33.647100000001771</c:v>
                </c:pt>
                <c:pt idx="988">
                  <c:v>33.647200000001774</c:v>
                </c:pt>
                <c:pt idx="989">
                  <c:v>33.647300000001778</c:v>
                </c:pt>
                <c:pt idx="990">
                  <c:v>33.647400000001781</c:v>
                </c:pt>
                <c:pt idx="991">
                  <c:v>33.647500000001784</c:v>
                </c:pt>
                <c:pt idx="992">
                  <c:v>33.647600000001788</c:v>
                </c:pt>
                <c:pt idx="993">
                  <c:v>33.647700000001791</c:v>
                </c:pt>
                <c:pt idx="994">
                  <c:v>33.647800000001794</c:v>
                </c:pt>
                <c:pt idx="995">
                  <c:v>33.647900000001798</c:v>
                </c:pt>
                <c:pt idx="996">
                  <c:v>33.648000000001801</c:v>
                </c:pt>
                <c:pt idx="997">
                  <c:v>33.648100000001804</c:v>
                </c:pt>
                <c:pt idx="998">
                  <c:v>33.648200000001808</c:v>
                </c:pt>
                <c:pt idx="999">
                  <c:v>33.648300000001811</c:v>
                </c:pt>
                <c:pt idx="1000">
                  <c:v>33.648400000001814</c:v>
                </c:pt>
              </c:numCache>
            </c:numRef>
          </c:xVal>
          <c:yVal>
            <c:numRef>
              <c:f>Calculs!$K$4:$K$1004</c:f>
              <c:numCache>
                <c:formatCode>0.00</c:formatCode>
                <c:ptCount val="1001"/>
                <c:pt idx="0">
                  <c:v>0</c:v>
                </c:pt>
                <c:pt idx="1">
                  <c:v>8.772253913530354E-4</c:v>
                </c:pt>
                <c:pt idx="2">
                  <c:v>7.2754367754342382E-3</c:v>
                </c:pt>
                <c:pt idx="3">
                  <c:v>2.5256519899900413E-2</c:v>
                </c:pt>
                <c:pt idx="4">
                  <c:v>5.6876016719973263E-2</c:v>
                </c:pt>
                <c:pt idx="5">
                  <c:v>0.10165371660956621</c:v>
                </c:pt>
                <c:pt idx="6">
                  <c:v>0.15925498526388057</c:v>
                </c:pt>
                <c:pt idx="7">
                  <c:v>0.22963793125601001</c:v>
                </c:pt>
                <c:pt idx="8">
                  <c:v>0.31290726322928986</c:v>
                </c:pt>
                <c:pt idx="9">
                  <c:v>0.40916774272854622</c:v>
                </c:pt>
                <c:pt idx="10">
                  <c:v>0.51852418208563844</c:v>
                </c:pt>
                <c:pt idx="11">
                  <c:v>0.64106621127563668</c:v>
                </c:pt>
                <c:pt idx="12">
                  <c:v>0.77685300300344962</c:v>
                </c:pt>
                <c:pt idx="13">
                  <c:v>0.92592843999032071</c:v>
                </c:pt>
                <c:pt idx="14">
                  <c:v>1.0883363243303719</c:v>
                </c:pt>
                <c:pt idx="15">
                  <c:v>1.264120375956824</c:v>
                </c:pt>
                <c:pt idx="16">
                  <c:v>1.4533242311033399</c:v>
                </c:pt>
                <c:pt idx="17">
                  <c:v>1.6559914407606002</c:v>
                </c:pt>
                <c:pt idx="18">
                  <c:v>1.8721654691282292</c:v>
                </c:pt>
                <c:pt idx="19">
                  <c:v>2.1018896920621857</c:v>
                </c:pt>
                <c:pt idx="20">
                  <c:v>2.3452073955177375</c:v>
                </c:pt>
                <c:pt idx="21">
                  <c:v>2.602155659767575</c:v>
                </c:pt>
                <c:pt idx="22">
                  <c:v>2.8727592271988414</c:v>
                </c:pt>
                <c:pt idx="23">
                  <c:v>3.1570365913001366</c:v>
                </c:pt>
                <c:pt idx="24">
                  <c:v>3.4550061023868048</c:v>
                </c:pt>
                <c:pt idx="25">
                  <c:v>3.7666859666786143</c:v>
                </c:pt>
                <c:pt idx="26">
                  <c:v>4.0920942453824569</c:v>
                </c:pt>
                <c:pt idx="27">
                  <c:v>4.4312340525029876</c:v>
                </c:pt>
                <c:pt idx="28">
                  <c:v>4.7841077362197328</c:v>
                </c:pt>
                <c:pt idx="29">
                  <c:v>5.1507316874083733</c:v>
                </c:pt>
                <c:pt idx="30">
                  <c:v>5.531122174472225</c:v>
                </c:pt>
                <c:pt idx="31">
                  <c:v>5.9252953511364588</c:v>
                </c:pt>
                <c:pt idx="32">
                  <c:v>6.3332672533163876</c:v>
                </c:pt>
                <c:pt idx="33">
                  <c:v>6.7550537962080375</c:v>
                </c:pt>
                <c:pt idx="34">
                  <c:v>7.1906707715740588</c:v>
                </c:pt>
                <c:pt idx="35">
                  <c:v>7.6401338452021657</c:v>
                </c:pt>
                <c:pt idx="36">
                  <c:v>8.1034585545166511</c:v>
                </c:pt>
                <c:pt idx="37">
                  <c:v>8.5806603063263491</c:v>
                </c:pt>
                <c:pt idx="38">
                  <c:v>9.0717543746947129</c:v>
                </c:pt>
                <c:pt idx="39">
                  <c:v>9.5767558989196608</c:v>
                </c:pt>
                <c:pt idx="40">
                  <c:v>10.095679881612455</c:v>
                </c:pt>
                <c:pt idx="41">
                  <c:v>10.628536427681617</c:v>
                </c:pt>
                <c:pt idx="42">
                  <c:v>11.175325972355473</c:v>
                </c:pt>
                <c:pt idx="43">
                  <c:v>11.736044023400133</c:v>
                </c:pt>
                <c:pt idx="44">
                  <c:v>12.310685914743388</c:v>
                </c:pt>
                <c:pt idx="45">
                  <c:v>12.899246805525491</c:v>
                </c:pt>
                <c:pt idx="46">
                  <c:v>13.501721679218752</c:v>
                </c:pt>
                <c:pt idx="47">
                  <c:v>14.118105342810834</c:v>
                </c:pt>
                <c:pt idx="48">
                  <c:v>14.748392426047207</c:v>
                </c:pt>
                <c:pt idx="49">
                  <c:v>15.392577380728719</c:v>
                </c:pt>
                <c:pt idx="50">
                  <c:v>16.050654480060643</c:v>
                </c:pt>
                <c:pt idx="51">
                  <c:v>16.722617818049983</c:v>
                </c:pt>
                <c:pt idx="52">
                  <c:v>17.408461308948098</c:v>
                </c:pt>
                <c:pt idx="53">
                  <c:v>18.108178686736036</c:v>
                </c:pt>
                <c:pt idx="54">
                  <c:v>18.8217635046502</c:v>
                </c:pt>
                <c:pt idx="55">
                  <c:v>19.549209134746221</c:v>
                </c:pt>
                <c:pt idx="56">
                  <c:v>20.290508767499063</c:v>
                </c:pt>
                <c:pt idx="57">
                  <c:v>21.045655411437622</c:v>
                </c:pt>
                <c:pt idx="58">
                  <c:v>21.814641892812219</c:v>
                </c:pt>
                <c:pt idx="59">
                  <c:v>22.597460855293495</c:v>
                </c:pt>
                <c:pt idx="60">
                  <c:v>23.394104759701406</c:v>
                </c:pt>
                <c:pt idx="61">
                  <c:v>24.204565883763053</c:v>
                </c:pt>
                <c:pt idx="62">
                  <c:v>25.028836321898275</c:v>
                </c:pt>
                <c:pt idx="63">
                  <c:v>25.866907985031929</c:v>
                </c:pt>
                <c:pt idx="64">
                  <c:v>26.71877260043194</c:v>
                </c:pt>
                <c:pt idx="65">
                  <c:v>27.584421711572233</c:v>
                </c:pt>
                <c:pt idx="66">
                  <c:v>28.463846678019735</c:v>
                </c:pt>
                <c:pt idx="67">
                  <c:v>29.357038675344725</c:v>
                </c:pt>
                <c:pt idx="68">
                  <c:v>30.263988695053818</c:v>
                </c:pt>
                <c:pt idx="69">
                  <c:v>31.18468754454495</c:v>
                </c:pt>
                <c:pt idx="70">
                  <c:v>32.119125847083765</c:v>
                </c:pt>
                <c:pt idx="71">
                  <c:v>33.067294041800871</c:v>
                </c:pt>
                <c:pt idx="72">
                  <c:v>34.02918238370939</c:v>
                </c:pt>
                <c:pt idx="73">
                  <c:v>35.004780943742425</c:v>
                </c:pt>
                <c:pt idx="74">
                  <c:v>35.994079608809855</c:v>
                </c:pt>
                <c:pt idx="75">
                  <c:v>36.997068081874161</c:v>
                </c:pt>
                <c:pt idx="76">
                  <c:v>38.013735882044799</c:v>
                </c:pt>
                <c:pt idx="77">
                  <c:v>39.044072344690811</c:v>
                </c:pt>
                <c:pt idx="78">
                  <c:v>40.088066621571258</c:v>
                </c:pt>
                <c:pt idx="79">
                  <c:v>41.1457076809832</c:v>
                </c:pt>
                <c:pt idx="80">
                  <c:v>42.216984307926872</c:v>
                </c:pt>
                <c:pt idx="81">
                  <c:v>43.301880264336113</c:v>
                </c:pt>
                <c:pt idx="82">
                  <c:v>44.400369440399622</c:v>
                </c:pt>
                <c:pt idx="83">
                  <c:v>45.51242068417173</c:v>
                </c:pt>
                <c:pt idx="84">
                  <c:v>46.638002640537323</c:v>
                </c:pt>
                <c:pt idx="85">
                  <c:v>47.777083752284568</c:v>
                </c:pt>
                <c:pt idx="86">
                  <c:v>48.92963226119516</c:v>
                </c:pt>
                <c:pt idx="87">
                  <c:v>50.095616209151714</c:v>
                </c:pt>
                <c:pt idx="88">
                  <c:v>51.275003439261987</c:v>
                </c:pt>
                <c:pt idx="89">
                  <c:v>52.467761596999388</c:v>
                </c:pt>
                <c:pt idx="90">
                  <c:v>53.673858131359609</c:v>
                </c:pt>
                <c:pt idx="91">
                  <c:v>54.893258156395945</c:v>
                </c:pt>
                <c:pt idx="92">
                  <c:v>56.125922309201115</c:v>
                </c:pt>
                <c:pt idx="93">
                  <c:v>57.37180888681921</c:v>
                </c:pt>
                <c:pt idx="94">
                  <c:v>58.630875986941582</c:v>
                </c:pt>
                <c:pt idx="95">
                  <c:v>59.903081509539369</c:v>
                </c:pt>
                <c:pt idx="96">
                  <c:v>61.188383158509829</c:v>
                </c:pt>
                <c:pt idx="97">
                  <c:v>62.486738443336158</c:v>
                </c:pt>
                <c:pt idx="98">
                  <c:v>63.798104680760403</c:v>
                </c:pt>
                <c:pt idx="99">
                  <c:v>65.122438996469057</c:v>
                </c:pt>
                <c:pt idx="100">
                  <c:v>66.459698326791056</c:v>
                </c:pt>
                <c:pt idx="101">
                  <c:v>67.809839077977514</c:v>
                </c:pt>
                <c:pt idx="102">
                  <c:v>69.172816784987262</c:v>
                </c:pt>
                <c:pt idx="103">
                  <c:v>70.54858645514517</c:v>
                </c:pt>
                <c:pt idx="104">
                  <c:v>71.93710291235017</c:v>
                </c:pt>
                <c:pt idx="105">
                  <c:v>73.338320798895296</c:v>
                </c:pt>
                <c:pt idx="106">
                  <c:v>74.752194577297999</c:v>
                </c:pt>
                <c:pt idx="107">
                  <c:v>76.178678532140111</c:v>
                </c:pt>
                <c:pt idx="108">
                  <c:v>77.617726771917361</c:v>
                </c:pt>
                <c:pt idx="109">
                  <c:v>79.069293230897998</c:v>
                </c:pt>
                <c:pt idx="110">
                  <c:v>80.533331670990165</c:v>
                </c:pt>
                <c:pt idx="111">
                  <c:v>82.009799628496125</c:v>
                </c:pt>
                <c:pt idx="112">
                  <c:v>83.49866236595993</c:v>
                </c:pt>
                <c:pt idx="113">
                  <c:v>84.999888933611786</c:v>
                </c:pt>
                <c:pt idx="114">
                  <c:v>86.513448225377232</c:v>
                </c:pt>
                <c:pt idx="115">
                  <c:v>88.039308980069563</c:v>
                </c:pt>
                <c:pt idx="116">
                  <c:v>89.577439782590886</c:v>
                </c:pt>
                <c:pt idx="117">
                  <c:v>91.127809065141633</c:v>
                </c:pt>
                <c:pt idx="118">
                  <c:v>92.690385108438264</c:v>
                </c:pt>
                <c:pt idx="119">
                  <c:v>94.265136042939091</c:v>
                </c:pt>
                <c:pt idx="120">
                  <c:v>95.852029850077955</c:v>
                </c:pt>
                <c:pt idx="121">
                  <c:v>97.451027816669367</c:v>
                </c:pt>
                <c:pt idx="122">
                  <c:v>99.062077981943247</c:v>
                </c:pt>
                <c:pt idx="123">
                  <c:v>100.68512168035352</c:v>
                </c:pt>
                <c:pt idx="124">
                  <c:v>102.3201000923803</c:v>
                </c:pt>
                <c:pt idx="125">
                  <c:v>103.96695424701494</c:v>
                </c:pt>
                <c:pt idx="126">
                  <c:v>105.62562502424719</c:v>
                </c:pt>
                <c:pt idx="127">
                  <c:v>107.29605315755407</c:v>
                </c:pt>
                <c:pt idx="128">
                  <c:v>108.97817923639029</c:v>
                </c:pt>
                <c:pt idx="129">
                  <c:v>110.67194370867954</c:v>
                </c:pt>
                <c:pt idx="130">
                  <c:v>112.37728688330651</c:v>
                </c:pt>
                <c:pt idx="131">
                  <c:v>114.09414721764742</c:v>
                </c:pt>
                <c:pt idx="132">
                  <c:v>115.82245960354244</c:v>
                </c:pt>
                <c:pt idx="133">
                  <c:v>117.56215708405546</c:v>
                </c:pt>
                <c:pt idx="134">
                  <c:v>119.31317257196277</c:v>
                </c:pt>
                <c:pt idx="135">
                  <c:v>121.07543885258555</c:v>
                </c:pt>
                <c:pt idx="136">
                  <c:v>122.84888858661861</c:v>
                </c:pt>
                <c:pt idx="137">
                  <c:v>124.63345431295531</c:v>
                </c:pt>
                <c:pt idx="138">
                  <c:v>126.42906845150793</c:v>
                </c:pt>
                <c:pt idx="139">
                  <c:v>128.23566330602353</c:v>
                </c:pt>
                <c:pt idx="140">
                  <c:v>130.05317106689444</c:v>
                </c:pt>
                <c:pt idx="141">
                  <c:v>131.88150329728774</c:v>
                </c:pt>
                <c:pt idx="142">
                  <c:v>133.72053040559149</c:v>
                </c:pt>
                <c:pt idx="143">
                  <c:v>135.57010216572837</c:v>
                </c:pt>
                <c:pt idx="144">
                  <c:v>137.43006825365975</c:v>
                </c:pt>
                <c:pt idx="145">
                  <c:v>139.30027825517917</c:v>
                </c:pt>
                <c:pt idx="146">
                  <c:v>141.18058167364725</c:v>
                </c:pt>
                <c:pt idx="147">
                  <c:v>143.07082793766736</c:v>
                </c:pt>
                <c:pt idx="148">
                  <c:v>144.97086640870035</c:v>
                </c:pt>
                <c:pt idx="149">
                  <c:v>146.88054638861755</c:v>
                </c:pt>
                <c:pt idx="150">
                  <c:v>148.79971712719083</c:v>
                </c:pt>
                <c:pt idx="151">
                  <c:v>150.72822782951872</c:v>
                </c:pt>
                <c:pt idx="152">
                  <c:v>152.66592766338741</c:v>
                </c:pt>
                <c:pt idx="153">
                  <c:v>154.61266576656575</c:v>
                </c:pt>
                <c:pt idx="154">
                  <c:v>156.56829125403337</c:v>
                </c:pt>
                <c:pt idx="155">
                  <c:v>158.53265322514068</c:v>
                </c:pt>
                <c:pt idx="156">
                  <c:v>160.50550353814256</c:v>
                </c:pt>
                <c:pt idx="157">
                  <c:v>162.48639958495508</c:v>
                </c:pt>
                <c:pt idx="158">
                  <c:v>164.47480164958151</c:v>
                </c:pt>
                <c:pt idx="159">
                  <c:v>166.47017029015527</c:v>
                </c:pt>
                <c:pt idx="160">
                  <c:v>168.47196639327146</c:v>
                </c:pt>
                <c:pt idx="161">
                  <c:v>170.47952759311173</c:v>
                </c:pt>
                <c:pt idx="162">
                  <c:v>172.49194478448419</c:v>
                </c:pt>
                <c:pt idx="163">
                  <c:v>174.50819791169513</c:v>
                </c:pt>
                <c:pt idx="164">
                  <c:v>176.52729170632691</c:v>
                </c:pt>
                <c:pt idx="165">
                  <c:v>178.54836213411519</c:v>
                </c:pt>
                <c:pt idx="166">
                  <c:v>180.57078266122147</c:v>
                </c:pt>
                <c:pt idx="167">
                  <c:v>182.59395606140745</c:v>
                </c:pt>
                <c:pt idx="168">
                  <c:v>184.61717147437133</c:v>
                </c:pt>
                <c:pt idx="169">
                  <c:v>186.63950902419984</c:v>
                </c:pt>
                <c:pt idx="170">
                  <c:v>188.65980967269536</c:v>
                </c:pt>
                <c:pt idx="171">
                  <c:v>190.67726287924197</c:v>
                </c:pt>
                <c:pt idx="172">
                  <c:v>192.69166813392965</c:v>
                </c:pt>
                <c:pt idx="173">
                  <c:v>194.7030320533828</c:v>
                </c:pt>
                <c:pt idx="174">
                  <c:v>196.71136122821548</c:v>
                </c:pt>
                <c:pt idx="175">
                  <c:v>198.71666222316696</c:v>
                </c:pt>
                <c:pt idx="176">
                  <c:v>200.71894157723634</c:v>
                </c:pt>
                <c:pt idx="177">
                  <c:v>202.71820580381623</c:v>
                </c:pt>
                <c:pt idx="178">
                  <c:v>204.71446139082576</c:v>
                </c:pt>
                <c:pt idx="179">
                  <c:v>206.70771480084247</c:v>
                </c:pt>
                <c:pt idx="180">
                  <c:v>208.6979724712335</c:v>
                </c:pt>
                <c:pt idx="181">
                  <c:v>210.68524081428581</c:v>
                </c:pt>
                <c:pt idx="182">
                  <c:v>212.66952621733566</c:v>
                </c:pt>
                <c:pt idx="183">
                  <c:v>214.65083504289723</c:v>
                </c:pt>
                <c:pt idx="184">
                  <c:v>216.62917362879031</c:v>
                </c:pt>
                <c:pt idx="185">
                  <c:v>218.60454828826724</c:v>
                </c:pt>
                <c:pt idx="186">
                  <c:v>220.57696531013903</c:v>
                </c:pt>
                <c:pt idx="187">
                  <c:v>222.5464309589006</c:v>
                </c:pt>
                <c:pt idx="188">
                  <c:v>224.51295147485527</c:v>
                </c:pt>
                <c:pt idx="189">
                  <c:v>226.47653307423849</c:v>
                </c:pt>
                <c:pt idx="190">
                  <c:v>228.43718194934061</c:v>
                </c:pt>
                <c:pt idx="191">
                  <c:v>230.39490426862901</c:v>
                </c:pt>
                <c:pt idx="192">
                  <c:v>232.34970617686935</c:v>
                </c:pt>
                <c:pt idx="193">
                  <c:v>234.30159379524619</c:v>
                </c:pt>
                <c:pt idx="194">
                  <c:v>236.2505732214826</c:v>
                </c:pt>
                <c:pt idx="195">
                  <c:v>238.19665052995919</c:v>
                </c:pt>
                <c:pt idx="196">
                  <c:v>240.13983177183235</c:v>
                </c:pt>
                <c:pt idx="197">
                  <c:v>242.08012297515162</c:v>
                </c:pt>
                <c:pt idx="198">
                  <c:v>244.01753014497649</c:v>
                </c:pt>
                <c:pt idx="199">
                  <c:v>245.95205926349229</c:v>
                </c:pt>
                <c:pt idx="200">
                  <c:v>247.88371629012539</c:v>
                </c:pt>
                <c:pt idx="201">
                  <c:v>267.04278134940603</c:v>
                </c:pt>
                <c:pt idx="202">
                  <c:v>285.91845415997216</c:v>
                </c:pt>
                <c:pt idx="203">
                  <c:v>304.51647953994552</c:v>
                </c:pt>
                <c:pt idx="204">
                  <c:v>322.84238932557327</c:v>
                </c:pt>
                <c:pt idx="205">
                  <c:v>340.90151270487166</c:v>
                </c:pt>
                <c:pt idx="206">
                  <c:v>358.69898592371345</c:v>
                </c:pt>
                <c:pt idx="207">
                  <c:v>376.23976140975299</c:v>
                </c:pt>
                <c:pt idx="208">
                  <c:v>393.52861635578302</c:v>
                </c:pt>
                <c:pt idx="209">
                  <c:v>410.57016080067353</c:v>
                </c:pt>
                <c:pt idx="210">
                  <c:v>427.36884524292645</c:v>
                </c:pt>
                <c:pt idx="211">
                  <c:v>443.92896781904818</c:v>
                </c:pt>
                <c:pt idx="212">
                  <c:v>460.25468107637266</c:v>
                </c:pt>
                <c:pt idx="213">
                  <c:v>476.34999836762898</c:v>
                </c:pt>
                <c:pt idx="214">
                  <c:v>492.21879989241813</c:v>
                </c:pt>
                <c:pt idx="215">
                  <c:v>507.86483840882357</c:v>
                </c:pt>
                <c:pt idx="216">
                  <c:v>523.29174463660877</c:v>
                </c:pt>
                <c:pt idx="217">
                  <c:v>538.50303237183709</c:v>
                </c:pt>
                <c:pt idx="218">
                  <c:v>553.50210333127029</c:v>
                </c:pt>
                <c:pt idx="219">
                  <c:v>568.2922517435461</c:v>
                </c:pt>
                <c:pt idx="220">
                  <c:v>582.87666870289729</c:v>
                </c:pt>
                <c:pt idx="221">
                  <c:v>597.25844630003314</c:v>
                </c:pt>
                <c:pt idx="222">
                  <c:v>611.4405815437608</c:v>
                </c:pt>
                <c:pt idx="223">
                  <c:v>625.42598008596508</c:v>
                </c:pt>
                <c:pt idx="224">
                  <c:v>639.21745976167858</c:v>
                </c:pt>
                <c:pt idx="225">
                  <c:v>652.8177539551649</c:v>
                </c:pt>
                <c:pt idx="226">
                  <c:v>666.22951480218603</c:v>
                </c:pt>
                <c:pt idx="227">
                  <c:v>679.45531623793465</c:v>
                </c:pt>
                <c:pt idx="228">
                  <c:v>692.49765689947606</c:v>
                </c:pt>
                <c:pt idx="229">
                  <c:v>705.35896289095297</c:v>
                </c:pt>
                <c:pt idx="230">
                  <c:v>718.04159041926459</c:v>
                </c:pt>
                <c:pt idx="231">
                  <c:v>730.54782830742647</c:v>
                </c:pt>
                <c:pt idx="232">
                  <c:v>742.87990039235069</c:v>
                </c:pt>
                <c:pt idx="233">
                  <c:v>755.03996781335661</c:v>
                </c:pt>
                <c:pt idx="234">
                  <c:v>767.03013119731804</c:v>
                </c:pt>
                <c:pt idx="235">
                  <c:v>778.8524327459844</c:v>
                </c:pt>
                <c:pt idx="236">
                  <c:v>790.50885823066665</c:v>
                </c:pt>
                <c:pt idx="237">
                  <c:v>802.00133889915753</c:v>
                </c:pt>
                <c:pt idx="238">
                  <c:v>813.33175329945948</c:v>
                </c:pt>
                <c:pt idx="239">
                  <c:v>824.50192902461379</c:v>
                </c:pt>
                <c:pt idx="240">
                  <c:v>835.5136443826683</c:v>
                </c:pt>
                <c:pt idx="241">
                  <c:v>846.36862999557832</c:v>
                </c:pt>
                <c:pt idx="242">
                  <c:v>857.06857033061294</c:v>
                </c:pt>
                <c:pt idx="243">
                  <c:v>867.61510516762803</c:v>
                </c:pt>
                <c:pt idx="244">
                  <c:v>878.00983100537269</c:v>
                </c:pt>
                <c:pt idx="245">
                  <c:v>888.2543024098137</c:v>
                </c:pt>
                <c:pt idx="246">
                  <c:v>898.35003330729091</c:v>
                </c:pt>
                <c:pt idx="247">
                  <c:v>908.29849822515826</c:v>
                </c:pt>
                <c:pt idx="248">
                  <c:v>918.10113348241475</c:v>
                </c:pt>
                <c:pt idx="249">
                  <c:v>927.75933833269187</c:v>
                </c:pt>
                <c:pt idx="250">
                  <c:v>937.27447606183057</c:v>
                </c:pt>
                <c:pt idx="251">
                  <c:v>946.64787504216099</c:v>
                </c:pt>
                <c:pt idx="252">
                  <c:v>955.88082974548161</c:v>
                </c:pt>
                <c:pt idx="253">
                  <c:v>964.97460171662726</c:v>
                </c:pt>
                <c:pt idx="254">
                  <c:v>973.93042050941381</c:v>
                </c:pt>
                <c:pt idx="255">
                  <c:v>982.74948458665347</c:v>
                </c:pt>
                <c:pt idx="256">
                  <c:v>991.43296218584396</c:v>
                </c:pt>
                <c:pt idx="257">
                  <c:v>999.98199215205238</c:v>
                </c:pt>
                <c:pt idx="258">
                  <c:v>1008.3976847394348</c:v>
                </c:pt>
                <c:pt idx="259">
                  <c:v>1016.6811223827584</c:v>
                </c:pt>
                <c:pt idx="260">
                  <c:v>1024.8333604402246</c:v>
                </c:pt>
                <c:pt idx="261">
                  <c:v>1032.8554279088239</c:v>
                </c:pt>
                <c:pt idx="262">
                  <c:v>1040.7483281133927</c:v>
                </c:pt>
                <c:pt idx="263">
                  <c:v>1048.5130393704849</c:v>
                </c:pt>
                <c:pt idx="264">
                  <c:v>1056.1505156281125</c:v>
                </c:pt>
                <c:pt idx="265">
                  <c:v>1063.6616870823639</c:v>
                </c:pt>
                <c:pt idx="266">
                  <c:v>1071.0474607718515</c:v>
                </c:pt>
                <c:pt idx="267">
                  <c:v>1078.3087211509057</c:v>
                </c:pt>
                <c:pt idx="268">
                  <c:v>1085.4463306423743</c:v>
                </c:pt>
                <c:pt idx="269">
                  <c:v>1092.461130170861</c:v>
                </c:pt>
                <c:pt idx="270">
                  <c:v>1099.3539396771851</c:v>
                </c:pt>
                <c:pt idx="271">
                  <c:v>1106.125558614817</c:v>
                </c:pt>
                <c:pt idx="272">
                  <c:v>1112.7767664290061</c:v>
                </c:pt>
                <c:pt idx="273">
                  <c:v>1119.3083230192838</c:v>
                </c:pt>
                <c:pt idx="274">
                  <c:v>1125.7209691859989</c:v>
                </c:pt>
                <c:pt idx="275">
                  <c:v>1132.0154270615096</c:v>
                </c:pt>
                <c:pt idx="276">
                  <c:v>1138.1924005266312</c:v>
                </c:pt>
                <c:pt idx="277">
                  <c:v>1144.2525756129128</c:v>
                </c:pt>
                <c:pt idx="278">
                  <c:v>1150.1966208912945</c:v>
                </c:pt>
                <c:pt idx="279">
                  <c:v>1156.0251878476702</c:v>
                </c:pt>
                <c:pt idx="280">
                  <c:v>1161.7389112458641</c:v>
                </c:pt>
                <c:pt idx="281">
                  <c:v>1167.3384094785101</c:v>
                </c:pt>
                <c:pt idx="282">
                  <c:v>1172.8242849062999</c:v>
                </c:pt>
                <c:pt idx="283">
                  <c:v>1178.1971241860556</c:v>
                </c:pt>
                <c:pt idx="284">
                  <c:v>1183.4574985880633</c:v>
                </c:pt>
                <c:pt idx="285">
                  <c:v>1188.6059643030919</c:v>
                </c:pt>
                <c:pt idx="286">
                  <c:v>1193.6430627395059</c:v>
                </c:pt>
                <c:pt idx="287">
                  <c:v>1198.5693208108753</c:v>
                </c:pt>
                <c:pt idx="288">
                  <c:v>1203.3852512144686</c:v>
                </c:pt>
                <c:pt idx="289">
                  <c:v>1208.0913527010125</c:v>
                </c:pt>
                <c:pt idx="290">
                  <c:v>1212.6881103360915</c:v>
                </c:pt>
                <c:pt idx="291">
                  <c:v>1217.1759957535551</c:v>
                </c:pt>
                <c:pt idx="292">
                  <c:v>1221.5554674012972</c:v>
                </c:pt>
                <c:pt idx="293">
                  <c:v>1225.826970779771</c:v>
                </c:pt>
                <c:pt idx="294">
                  <c:v>1229.9909386735987</c:v>
                </c:pt>
                <c:pt idx="295">
                  <c:v>1234.0477913766392</c:v>
                </c:pt>
                <c:pt idx="296">
                  <c:v>1237.9979369108812</c:v>
                </c:pt>
                <c:pt idx="297">
                  <c:v>1241.8417712395324</c:v>
                </c:pt>
                <c:pt idx="298">
                  <c:v>1245.579678474684</c:v>
                </c:pt>
                <c:pt idx="299">
                  <c:v>1249.2120310799421</c:v>
                </c:pt>
                <c:pt idx="300">
                  <c:v>1252.7391900684295</c:v>
                </c:pt>
                <c:pt idx="301">
                  <c:v>1256.1615051965794</c:v>
                </c:pt>
                <c:pt idx="302">
                  <c:v>1259.4793151541624</c:v>
                </c:pt>
                <c:pt idx="303">
                  <c:v>1262.6929477510121</c:v>
                </c:pt>
                <c:pt idx="304">
                  <c:v>1265.8027201009429</c:v>
                </c:pt>
                <c:pt idx="305">
                  <c:v>1268.8089388033895</c:v>
                </c:pt>
                <c:pt idx="306">
                  <c:v>1271.7119001233311</c:v>
                </c:pt>
                <c:pt idx="307">
                  <c:v>1274.5118901701101</c:v>
                </c:pt>
                <c:pt idx="308">
                  <c:v>1277.209185075804</c:v>
                </c:pt>
                <c:pt idx="309">
                  <c:v>1279.8040511738641</c:v>
                </c:pt>
                <c:pt idx="310">
                  <c:v>1282.2967451787956</c:v>
                </c:pt>
                <c:pt idx="311">
                  <c:v>1284.6875143677248</c:v>
                </c:pt>
                <c:pt idx="312">
                  <c:v>1286.9765967647702</c:v>
                </c:pt>
                <c:pt idx="313">
                  <c:v>1289.1642213292193</c:v>
                </c:pt>
                <c:pt idx="314">
                  <c:v>1291.2506081485956</c:v>
                </c:pt>
                <c:pt idx="315">
                  <c:v>1293.2359686377911</c:v>
                </c:pt>
                <c:pt idx="316">
                  <c:v>1295.1205057455368</c:v>
                </c:pt>
                <c:pt idx="317">
                  <c:v>1296.9044141695706</c:v>
                </c:pt>
                <c:pt idx="318">
                  <c:v>1298.5878805819525</c:v>
                </c:pt>
                <c:pt idx="319">
                  <c:v>1300.1710838660608</c:v>
                </c:pt>
                <c:pt idx="320">
                  <c:v>1301.6541953668641</c:v>
                </c:pt>
                <c:pt idx="321">
                  <c:v>1303.0373791561117</c:v>
                </c:pt>
                <c:pt idx="322">
                  <c:v>1304.3207923140974</c:v>
                </c:pt>
                <c:pt idx="323">
                  <c:v>1305.5045852296269</c:v>
                </c:pt>
                <c:pt idx="324">
                  <c:v>1306.5889019197398</c:v>
                </c:pt>
                <c:pt idx="325">
                  <c:v>1307.5738803706017</c:v>
                </c:pt>
                <c:pt idx="326">
                  <c:v>1308.4596529007677</c:v>
                </c:pt>
                <c:pt idx="327">
                  <c:v>1309.2463465477244</c:v>
                </c:pt>
                <c:pt idx="328">
                  <c:v>1309.9340834782438</c:v>
                </c:pt>
                <c:pt idx="329">
                  <c:v>1310.5229814226036</c:v>
                </c:pt>
                <c:pt idx="330">
                  <c:v>1311.0131541321896</c:v>
                </c:pt>
                <c:pt idx="331">
                  <c:v>1311.4047118593642</c:v>
                </c:pt>
                <c:pt idx="332">
                  <c:v>1311.6977618578248</c:v>
                </c:pt>
                <c:pt idx="333">
                  <c:v>1311.8924089009854</c:v>
                </c:pt>
                <c:pt idx="334">
                  <c:v>1311.9887558152445</c:v>
                </c:pt>
                <c:pt idx="335">
                  <c:v>1311.9869040243964</c:v>
                </c:pt>
                <c:pt idx="336">
                  <c:v>1311.886954100929</c:v>
                </c:pt>
                <c:pt idx="337">
                  <c:v>1311.6890063195806</c:v>
                </c:pt>
                <c:pt idx="338">
                  <c:v>1311.393161208317</c:v>
                </c:pt>
                <c:pt idx="339">
                  <c:v>1310.9995200918665</c:v>
                </c:pt>
                <c:pt idx="340">
                  <c:v>1310.5081856231081</c:v>
                </c:pt>
                <c:pt idx="341">
                  <c:v>1309.919262297936</c:v>
                </c:pt>
                <c:pt idx="342">
                  <c:v>1309.232856949704</c:v>
                </c:pt>
                <c:pt idx="343">
                  <c:v>1308.4490792199392</c:v>
                </c:pt>
                <c:pt idx="344">
                  <c:v>1307.5680420026738</c:v>
                </c:pt>
                <c:pt idx="345">
                  <c:v>1306.5898618604363</c:v>
                </c:pt>
                <c:pt idx="346">
                  <c:v>1305.5146594106218</c:v>
                </c:pt>
                <c:pt idx="347">
                  <c:v>1304.3425596816005</c:v>
                </c:pt>
                <c:pt idx="348">
                  <c:v>1303.0736924385008</c:v>
                </c:pt>
                <c:pt idx="349">
                  <c:v>1301.7081924790925</c:v>
                </c:pt>
                <c:pt idx="350">
                  <c:v>1300.2461999006039</c:v>
                </c:pt>
                <c:pt idx="351">
                  <c:v>1298.6878603386172</c:v>
                </c:pt>
                <c:pt idx="352">
                  <c:v>1297.0333251794216</c:v>
                </c:pt>
                <c:pt idx="353">
                  <c:v>1295.2827517473515</c:v>
                </c:pt>
                <c:pt idx="354">
                  <c:v>1293.4363034687274</c:v>
                </c:pt>
                <c:pt idx="355">
                  <c:v>1291.4941500140476</c:v>
                </c:pt>
                <c:pt idx="356">
                  <c:v>1289.4564674200701</c:v>
                </c:pt>
                <c:pt idx="357">
                  <c:v>1287.3234381933755</c:v>
                </c:pt>
                <c:pt idx="358">
                  <c:v>1285.0952513969353</c:v>
                </c:pt>
                <c:pt idx="359">
                  <c:v>1282.7721027211276</c:v>
                </c:pt>
                <c:pt idx="360">
                  <c:v>1280.3541945405409</c:v>
                </c:pt>
                <c:pt idx="361">
                  <c:v>1277.8417359578157</c:v>
                </c:pt>
                <c:pt idx="362">
                  <c:v>1275.2349428356647</c:v>
                </c:pt>
                <c:pt idx="363">
                  <c:v>1272.5340378181222</c:v>
                </c:pt>
                <c:pt idx="364">
                  <c:v>1269.7392503419733</c:v>
                </c:pt>
                <c:pt idx="365">
                  <c:v>1266.8508166392271</c:v>
                </c:pt>
                <c:pt idx="366">
                  <c:v>1263.8689797314146</c:v>
                </c:pt>
                <c:pt idx="367">
                  <c:v>1260.7939894164151</c:v>
                </c:pt>
                <c:pt idx="368">
                  <c:v>1257.6261022484478</c:v>
                </c:pt>
                <c:pt idx="369">
                  <c:v>1254.3655815117957</c:v>
                </c:pt>
                <c:pt idx="370">
                  <c:v>1251.0126971887805</c:v>
                </c:pt>
                <c:pt idx="371">
                  <c:v>1247.5677259224469</c:v>
                </c:pt>
                <c:pt idx="372">
                  <c:v>1244.0309509743752</c:v>
                </c:pt>
                <c:pt idx="373">
                  <c:v>1240.4026621779956</c:v>
                </c:pt>
                <c:pt idx="374">
                  <c:v>1236.683155887745</c:v>
                </c:pt>
                <c:pt idx="375">
                  <c:v>1232.8727349243702</c:v>
                </c:pt>
                <c:pt idx="376">
                  <c:v>1228.9717085166562</c:v>
                </c:pt>
                <c:pt idx="377">
                  <c:v>1224.9803922398303</c:v>
                </c:pt>
                <c:pt idx="378">
                  <c:v>1220.8991079508721</c:v>
                </c:pt>
                <c:pt idx="379">
                  <c:v>1216.7281837209368</c:v>
                </c:pt>
                <c:pt idx="380">
                  <c:v>1212.467953765085</c:v>
                </c:pt>
                <c:pt idx="381">
                  <c:v>1208.1187583694914</c:v>
                </c:pt>
                <c:pt idx="382">
                  <c:v>1203.6809438162979</c:v>
                </c:pt>
                <c:pt idx="383">
                  <c:v>1199.154862306257</c:v>
                </c:pt>
                <c:pt idx="384">
                  <c:v>1194.5408718793049</c:v>
                </c:pt>
                <c:pt idx="385">
                  <c:v>1189.8393363331938</c:v>
                </c:pt>
                <c:pt idx="386">
                  <c:v>1185.0506251403031</c:v>
                </c:pt>
                <c:pt idx="387">
                  <c:v>1180.1751133627404</c:v>
                </c:pt>
                <c:pt idx="388">
                  <c:v>1175.2131815658411</c:v>
                </c:pt>
                <c:pt idx="389">
                  <c:v>1170.1652157301626</c:v>
                </c:pt>
                <c:pt idx="390">
                  <c:v>1165.0316071620714</c:v>
                </c:pt>
                <c:pt idx="391">
                  <c:v>1159.8127524030085</c:v>
                </c:pt>
                <c:pt idx="392">
                  <c:v>1154.5090531375213</c:v>
                </c:pt>
                <c:pt idx="393">
                  <c:v>1149.120916100142</c:v>
                </c:pt>
                <c:pt idx="394">
                  <c:v>1143.6487529811911</c:v>
                </c:pt>
                <c:pt idx="395">
                  <c:v>1138.0929803315782</c:v>
                </c:pt>
                <c:pt idx="396">
                  <c:v>1132.4540194666768</c:v>
                </c:pt>
                <c:pt idx="397">
                  <c:v>1126.7322963693364</c:v>
                </c:pt>
                <c:pt idx="398">
                  <c:v>1120.9282415921036</c:v>
                </c:pt>
                <c:pt idx="399">
                  <c:v>1115.0422901587153</c:v>
                </c:pt>
                <c:pt idx="400">
                  <c:v>1109.0748814649244</c:v>
                </c:pt>
                <c:pt idx="401">
                  <c:v>1103.0264591787234</c:v>
                </c:pt>
                <c:pt idx="402">
                  <c:v>1096.8974711400215</c:v>
                </c:pt>
                <c:pt idx="403">
                  <c:v>1090.6883692598351</c:v>
                </c:pt>
                <c:pt idx="404">
                  <c:v>1084.3996094190454</c:v>
                </c:pt>
                <c:pt idx="405">
                  <c:v>1078.031651366781</c:v>
                </c:pt>
                <c:pt idx="406">
                  <c:v>1071.5849586184761</c:v>
                </c:pt>
                <c:pt idx="407">
                  <c:v>1065.0599983536588</c:v>
                </c:pt>
                <c:pt idx="408">
                  <c:v>1058.4572413135195</c:v>
                </c:pt>
                <c:pt idx="409">
                  <c:v>1051.7771616983084</c:v>
                </c:pt>
                <c:pt idx="410">
                  <c:v>1045.0202370646134</c:v>
                </c:pt>
                <c:pt idx="411">
                  <c:v>1038.1869482225636</c:v>
                </c:pt>
                <c:pt idx="412">
                  <c:v>1031.2777791330068</c:v>
                </c:pt>
                <c:pt idx="413">
                  <c:v>1024.2932168047064</c:v>
                </c:pt>
                <c:pt idx="414">
                  <c:v>1017.2337511916016</c:v>
                </c:pt>
                <c:pt idx="415">
                  <c:v>1010.0998750901765</c:v>
                </c:pt>
                <c:pt idx="416">
                  <c:v>1002.8920840369792</c:v>
                </c:pt>
                <c:pt idx="417">
                  <c:v>995.61087620633384</c:v>
                </c:pt>
                <c:pt idx="418">
                  <c:v>988.25675230828654</c:v>
                </c:pt>
                <c:pt idx="419">
                  <c:v>980.8302154868253</c:v>
                </c:pt>
                <c:pt idx="420">
                  <c:v>973.33177121841311</c:v>
                </c:pt>
                <c:pt idx="421">
                  <c:v>965.7619272108725</c:v>
                </c:pt>
                <c:pt idx="422">
                  <c:v>958.12119330265932</c:v>
                </c:pt>
                <c:pt idx="423">
                  <c:v>950.41008136256221</c:v>
                </c:pt>
                <c:pt idx="424">
                  <c:v>942.62910518986348</c:v>
                </c:pt>
                <c:pt idx="425">
                  <c:v>934.77878041499605</c:v>
                </c:pt>
                <c:pt idx="426">
                  <c:v>926.85962440073081</c:v>
                </c:pt>
                <c:pt idx="427">
                  <c:v>918.87215614392744</c:v>
                </c:pt>
                <c:pt idx="428">
                  <c:v>910.81689617788061</c:v>
                </c:pt>
                <c:pt idx="429">
                  <c:v>902.6943664752929</c:v>
                </c:pt>
                <c:pt idx="430">
                  <c:v>894.50509035190578</c:v>
                </c:pt>
                <c:pt idx="431">
                  <c:v>886.24959237081691</c:v>
                </c:pt>
                <c:pt idx="432">
                  <c:v>877.92839824751377</c:v>
                </c:pt>
                <c:pt idx="433">
                  <c:v>869.542034755651</c:v>
                </c:pt>
                <c:pt idx="434">
                  <c:v>861.09102963359783</c:v>
                </c:pt>
                <c:pt idx="435">
                  <c:v>852.57591149178324</c:v>
                </c:pt>
                <c:pt idx="436">
                  <c:v>843.99720972086288</c:v>
                </c:pt>
                <c:pt idx="437">
                  <c:v>835.35545440073258</c:v>
                </c:pt>
                <c:pt idx="438">
                  <c:v>826.65117621041202</c:v>
                </c:pt>
                <c:pt idx="439">
                  <c:v>817.88490633882179</c:v>
                </c:pt>
                <c:pt idx="440">
                  <c:v>809.05717639647492</c:v>
                </c:pt>
                <c:pt idx="441">
                  <c:v>800.16851832810403</c:v>
                </c:pt>
                <c:pt idx="442">
                  <c:v>791.2194643262452</c:v>
                </c:pt>
                <c:pt idx="443">
                  <c:v>782.21054674579648</c:v>
                </c:pt>
                <c:pt idx="444">
                  <c:v>773.14229801957106</c:v>
                </c:pt>
                <c:pt idx="445">
                  <c:v>764.01525057486106</c:v>
                </c:pt>
                <c:pt idx="446">
                  <c:v>754.8299367510308</c:v>
                </c:pt>
                <c:pt idx="447">
                  <c:v>745.58688871815366</c:v>
                </c:pt>
                <c:pt idx="448">
                  <c:v>736.28663839670912</c:v>
                </c:pt>
                <c:pt idx="449">
                  <c:v>726.92971737835353</c:v>
                </c:pt>
                <c:pt idx="450">
                  <c:v>717.51665684777925</c:v>
                </c:pt>
                <c:pt idx="451">
                  <c:v>708.0479875056734</c:v>
                </c:pt>
                <c:pt idx="452">
                  <c:v>698.52423949278989</c:v>
                </c:pt>
                <c:pt idx="453">
                  <c:v>688.94594231514498</c:v>
                </c:pt>
                <c:pt idx="454">
                  <c:v>679.31362477034747</c:v>
                </c:pt>
                <c:pt idx="455">
                  <c:v>669.62781487507232</c:v>
                </c:pt>
                <c:pt idx="456">
                  <c:v>659.88903979368808</c:v>
                </c:pt>
                <c:pt idx="457">
                  <c:v>650.09782576804537</c:v>
                </c:pt>
                <c:pt idx="458">
                  <c:v>640.25469804843374</c:v>
                </c:pt>
                <c:pt idx="459">
                  <c:v>630.36018082571491</c:v>
                </c:pt>
                <c:pt idx="460">
                  <c:v>620.41479716463743</c:v>
                </c:pt>
                <c:pt idx="461">
                  <c:v>610.41906893833811</c:v>
                </c:pt>
                <c:pt idx="462">
                  <c:v>600.37351676403591</c:v>
                </c:pt>
                <c:pt idx="463">
                  <c:v>590.27865993992123</c:v>
                </c:pt>
                <c:pt idx="464">
                  <c:v>580.13501638324476</c:v>
                </c:pt>
                <c:pt idx="465">
                  <c:v>569.94310256960819</c:v>
                </c:pt>
                <c:pt idx="466">
                  <c:v>559.70343347345897</c:v>
                </c:pt>
                <c:pt idx="467">
                  <c:v>549.41652250979052</c:v>
                </c:pt>
                <c:pt idx="468">
                  <c:v>539.08288147704889</c:v>
                </c:pt>
                <c:pt idx="469">
                  <c:v>528.70302050124599</c:v>
                </c:pt>
                <c:pt idx="470">
                  <c:v>518.27744798127924</c:v>
                </c:pt>
                <c:pt idx="471">
                  <c:v>507.80667053545636</c:v>
                </c:pt>
                <c:pt idx="472">
                  <c:v>497.29119294922401</c:v>
                </c:pt>
                <c:pt idx="473">
                  <c:v>486.73151812409827</c:v>
                </c:pt>
                <c:pt idx="474">
                  <c:v>476.12814702779451</c:v>
                </c:pt>
                <c:pt idx="475">
                  <c:v>465.48157864555327</c:v>
                </c:pt>
                <c:pt idx="476">
                  <c:v>454.79230993265884</c:v>
                </c:pt>
                <c:pt idx="477">
                  <c:v>444.06083576814603</c:v>
                </c:pt>
                <c:pt idx="478">
                  <c:v>433.28764890969126</c:v>
                </c:pt>
                <c:pt idx="479">
                  <c:v>422.47323994968195</c:v>
                </c:pt>
                <c:pt idx="480">
                  <c:v>411.61809727245986</c:v>
                </c:pt>
                <c:pt idx="481">
                  <c:v>400.72270701273135</c:v>
                </c:pt>
                <c:pt idx="482">
                  <c:v>389.78755301513888</c:v>
                </c:pt>
                <c:pt idx="483">
                  <c:v>378.81311679498674</c:v>
                </c:pt>
                <c:pt idx="484">
                  <c:v>367.79987750011395</c:v>
                </c:pt>
                <c:pt idx="485">
                  <c:v>356.74831187390652</c:v>
                </c:pt>
                <c:pt idx="486">
                  <c:v>345.65889421944121</c:v>
                </c:pt>
                <c:pt idx="487">
                  <c:v>334.53209636475293</c:v>
                </c:pt>
                <c:pt idx="488">
                  <c:v>323.36838762921633</c:v>
                </c:pt>
                <c:pt idx="489">
                  <c:v>312.16823479103329</c:v>
                </c:pt>
                <c:pt idx="490">
                  <c:v>300.9321020558167</c:v>
                </c:pt>
                <c:pt idx="491">
                  <c:v>289.66045102626094</c:v>
                </c:pt>
                <c:pt idx="492">
                  <c:v>278.35374067288922</c:v>
                </c:pt>
                <c:pt idx="493">
                  <c:v>267.01242730586762</c:v>
                </c:pt>
                <c:pt idx="494">
                  <c:v>255.63696454787535</c:v>
                </c:pt>
                <c:pt idx="495">
                  <c:v>244.22780330802038</c:v>
                </c:pt>
                <c:pt idx="496">
                  <c:v>232.78539175678983</c:v>
                </c:pt>
                <c:pt idx="497">
                  <c:v>221.31017530202354</c:v>
                </c:pt>
                <c:pt idx="498">
                  <c:v>209.80259656589985</c:v>
                </c:pt>
                <c:pt idx="499">
                  <c:v>198.26309536292155</c:v>
                </c:pt>
                <c:pt idx="500">
                  <c:v>186.69210867889058</c:v>
                </c:pt>
                <c:pt idx="501">
                  <c:v>175.09007065085922</c:v>
                </c:pt>
                <c:pt idx="502">
                  <c:v>163.45741254804574</c:v>
                </c:pt>
                <c:pt idx="503">
                  <c:v>151.79456275370222</c:v>
                </c:pt>
                <c:pt idx="504">
                  <c:v>140.10194674792206</c:v>
                </c:pt>
                <c:pt idx="505">
                  <c:v>128.37998709137443</c:v>
                </c:pt>
                <c:pt idx="506">
                  <c:v>116.62910340995313</c:v>
                </c:pt>
                <c:pt idx="507">
                  <c:v>104.84971238032698</c:v>
                </c:pt>
                <c:pt idx="508">
                  <c:v>93.042227716378562</c:v>
                </c:pt>
                <c:pt idx="509">
                  <c:v>81.207060156518594</c:v>
                </c:pt>
                <c:pt idx="510">
                  <c:v>69.34461745186249</c:v>
                </c:pt>
                <c:pt idx="511">
                  <c:v>57.455304355256125</c:v>
                </c:pt>
                <c:pt idx="512">
                  <c:v>45.539522611137272</c:v>
                </c:pt>
                <c:pt idx="513">
                  <c:v>33.597670946219623</c:v>
                </c:pt>
                <c:pt idx="514">
                  <c:v>21.630145060985761</c:v>
                </c:pt>
                <c:pt idx="515">
                  <c:v>9.6373376219757922</c:v>
                </c:pt>
                <c:pt idx="516">
                  <c:v>-2.3803617451419008</c:v>
                </c:pt>
                <c:pt idx="517">
                  <c:v>-2.3923918056035842</c:v>
                </c:pt>
                <c:pt idx="518">
                  <c:v>-2.4044218903779</c:v>
                </c:pt>
                <c:pt idx="519">
                  <c:v>-2.4164519994644666</c:v>
                </c:pt>
                <c:pt idx="520">
                  <c:v>-2.4284821328629027</c:v>
                </c:pt>
                <c:pt idx="521">
                  <c:v>-2.4405122905728271</c:v>
                </c:pt>
                <c:pt idx="522">
                  <c:v>-2.4525424725938589</c:v>
                </c:pt>
                <c:pt idx="523">
                  <c:v>-2.464572678925617</c:v>
                </c:pt>
                <c:pt idx="524">
                  <c:v>-2.47660290956772</c:v>
                </c:pt>
                <c:pt idx="525">
                  <c:v>-2.4886331645197868</c:v>
                </c:pt>
                <c:pt idx="526">
                  <c:v>-2.5006634437814363</c:v>
                </c:pt>
                <c:pt idx="527">
                  <c:v>-2.5126937473522872</c:v>
                </c:pt>
                <c:pt idx="528">
                  <c:v>-2.5247240752319584</c:v>
                </c:pt>
                <c:pt idx="529">
                  <c:v>-2.5367544274200688</c:v>
                </c:pt>
                <c:pt idx="530">
                  <c:v>-2.5487848039162371</c:v>
                </c:pt>
                <c:pt idx="531">
                  <c:v>-2.5608152047200821</c:v>
                </c:pt>
                <c:pt idx="532">
                  <c:v>-2.5728456298312228</c:v>
                </c:pt>
                <c:pt idx="533">
                  <c:v>-2.5848760792492782</c:v>
                </c:pt>
                <c:pt idx="534">
                  <c:v>-2.5969065529738669</c:v>
                </c:pt>
                <c:pt idx="535">
                  <c:v>-2.6089370510046077</c:v>
                </c:pt>
                <c:pt idx="536">
                  <c:v>-2.6209675733411197</c:v>
                </c:pt>
                <c:pt idx="537">
                  <c:v>-2.6329981199830215</c:v>
                </c:pt>
                <c:pt idx="538">
                  <c:v>-2.6450286909299323</c:v>
                </c:pt>
                <c:pt idx="539">
                  <c:v>-2.6570592861814708</c:v>
                </c:pt>
                <c:pt idx="540">
                  <c:v>-2.6690899057372559</c:v>
                </c:pt>
                <c:pt idx="541">
                  <c:v>-2.6811205495969066</c:v>
                </c:pt>
                <c:pt idx="542">
                  <c:v>-2.6931512177600414</c:v>
                </c:pt>
                <c:pt idx="543">
                  <c:v>-2.7051819102262793</c:v>
                </c:pt>
                <c:pt idx="544">
                  <c:v>-2.7172126269952397</c:v>
                </c:pt>
                <c:pt idx="545">
                  <c:v>-2.7292433680665407</c:v>
                </c:pt>
                <c:pt idx="546">
                  <c:v>-2.7412741334398016</c:v>
                </c:pt>
                <c:pt idx="547">
                  <c:v>-2.7533049231146416</c:v>
                </c:pt>
                <c:pt idx="548">
                  <c:v>-2.765335737090679</c:v>
                </c:pt>
                <c:pt idx="549">
                  <c:v>-2.777366575367533</c:v>
                </c:pt>
                <c:pt idx="550">
                  <c:v>-2.7893974379448228</c:v>
                </c:pt>
                <c:pt idx="551">
                  <c:v>-2.801428324822167</c:v>
                </c:pt>
                <c:pt idx="552">
                  <c:v>-2.8134592359991841</c:v>
                </c:pt>
                <c:pt idx="553">
                  <c:v>-2.8254901714754936</c:v>
                </c:pt>
                <c:pt idx="554">
                  <c:v>-2.8375211312507145</c:v>
                </c:pt>
                <c:pt idx="555">
                  <c:v>-2.8495521153244652</c:v>
                </c:pt>
                <c:pt idx="556">
                  <c:v>-2.8615831236963651</c:v>
                </c:pt>
                <c:pt idx="557">
                  <c:v>-2.8736141563660329</c:v>
                </c:pt>
                <c:pt idx="558">
                  <c:v>-2.8856452133330874</c:v>
                </c:pt>
                <c:pt idx="559">
                  <c:v>-2.8976762945971477</c:v>
                </c:pt>
                <c:pt idx="560">
                  <c:v>-2.9097074001578327</c:v>
                </c:pt>
                <c:pt idx="561">
                  <c:v>-2.9217385300147614</c:v>
                </c:pt>
                <c:pt idx="562">
                  <c:v>-2.9337696841675527</c:v>
                </c:pt>
                <c:pt idx="563">
                  <c:v>-2.9458008626158256</c:v>
                </c:pt>
                <c:pt idx="564">
                  <c:v>-2.9578320653591987</c:v>
                </c:pt>
                <c:pt idx="565">
                  <c:v>-2.9698632923972914</c:v>
                </c:pt>
                <c:pt idx="566">
                  <c:v>-2.9818945437297226</c:v>
                </c:pt>
                <c:pt idx="567">
                  <c:v>-2.9939258193561109</c:v>
                </c:pt>
                <c:pt idx="568">
                  <c:v>-3.0059571192760757</c:v>
                </c:pt>
                <c:pt idx="569">
                  <c:v>-3.0179884434892355</c:v>
                </c:pt>
                <c:pt idx="570">
                  <c:v>-3.0300197919952097</c:v>
                </c:pt>
                <c:pt idx="571">
                  <c:v>-3.0420511647936168</c:v>
                </c:pt>
                <c:pt idx="572">
                  <c:v>-3.0540825618840763</c:v>
                </c:pt>
                <c:pt idx="573">
                  <c:v>-3.0661139832662072</c:v>
                </c:pt>
                <c:pt idx="574">
                  <c:v>-3.0781454289396279</c:v>
                </c:pt>
                <c:pt idx="575">
                  <c:v>-3.090176898903958</c:v>
                </c:pt>
                <c:pt idx="576">
                  <c:v>-3.1022083931588158</c:v>
                </c:pt>
                <c:pt idx="577">
                  <c:v>-3.1142399117038209</c:v>
                </c:pt>
                <c:pt idx="578">
                  <c:v>-3.1262714545385921</c:v>
                </c:pt>
                <c:pt idx="579">
                  <c:v>-3.1383030216627481</c:v>
                </c:pt>
                <c:pt idx="580">
                  <c:v>-3.1503346130759082</c:v>
                </c:pt>
                <c:pt idx="581">
                  <c:v>-3.1623662287776915</c:v>
                </c:pt>
                <c:pt idx="582">
                  <c:v>-3.1743978687677168</c:v>
                </c:pt>
                <c:pt idx="583">
                  <c:v>-3.1864295330456032</c:v>
                </c:pt>
                <c:pt idx="584">
                  <c:v>-3.1984612216109696</c:v>
                </c:pt>
                <c:pt idx="585">
                  <c:v>-3.210492934463435</c:v>
                </c:pt>
                <c:pt idx="586">
                  <c:v>-3.2225246716026184</c:v>
                </c:pt>
                <c:pt idx="587">
                  <c:v>-3.2345564330281391</c:v>
                </c:pt>
                <c:pt idx="588">
                  <c:v>-3.2465882187396158</c:v>
                </c:pt>
                <c:pt idx="589">
                  <c:v>-3.2586200287366678</c:v>
                </c:pt>
                <c:pt idx="590">
                  <c:v>-3.2706518630189141</c:v>
                </c:pt>
                <c:pt idx="591">
                  <c:v>-3.2826837215859732</c:v>
                </c:pt>
                <c:pt idx="592">
                  <c:v>-3.2947156044374646</c:v>
                </c:pt>
                <c:pt idx="593">
                  <c:v>-3.3067475115730072</c:v>
                </c:pt>
                <c:pt idx="594">
                  <c:v>-3.3187794429922204</c:v>
                </c:pt>
                <c:pt idx="595">
                  <c:v>-3.3308113986947228</c:v>
                </c:pt>
                <c:pt idx="596">
                  <c:v>-3.3428433786801337</c:v>
                </c:pt>
                <c:pt idx="597">
                  <c:v>-3.3548753829480717</c:v>
                </c:pt>
                <c:pt idx="598">
                  <c:v>-3.3669074114981563</c:v>
                </c:pt>
                <c:pt idx="599">
                  <c:v>-3.3789394643300064</c:v>
                </c:pt>
                <c:pt idx="600">
                  <c:v>-3.3909715414432413</c:v>
                </c:pt>
                <c:pt idx="601">
                  <c:v>-3.4030036428374797</c:v>
                </c:pt>
                <c:pt idx="602">
                  <c:v>-3.4150357685123409</c:v>
                </c:pt>
                <c:pt idx="603">
                  <c:v>-3.427067918467444</c:v>
                </c:pt>
                <c:pt idx="604">
                  <c:v>-3.4391000927024078</c:v>
                </c:pt>
                <c:pt idx="605">
                  <c:v>-3.4511322912168514</c:v>
                </c:pt>
                <c:pt idx="606">
                  <c:v>-3.4631645140103942</c:v>
                </c:pt>
                <c:pt idx="607">
                  <c:v>-3.4751967610826551</c:v>
                </c:pt>
                <c:pt idx="608">
                  <c:v>-3.4872290324332531</c:v>
                </c:pt>
                <c:pt idx="609">
                  <c:v>-3.4992613280618072</c:v>
                </c:pt>
                <c:pt idx="610">
                  <c:v>-3.5112936479679369</c:v>
                </c:pt>
                <c:pt idx="611">
                  <c:v>-3.523325992151261</c:v>
                </c:pt>
                <c:pt idx="612">
                  <c:v>-3.5353583606113985</c:v>
                </c:pt>
                <c:pt idx="613">
                  <c:v>-3.5473907533479685</c:v>
                </c:pt>
                <c:pt idx="614">
                  <c:v>-3.5594231703605903</c:v>
                </c:pt>
                <c:pt idx="615">
                  <c:v>-3.5714556116488829</c:v>
                </c:pt>
                <c:pt idx="616">
                  <c:v>-3.5834880772124653</c:v>
                </c:pt>
                <c:pt idx="617">
                  <c:v>-3.5955205670509569</c:v>
                </c:pt>
                <c:pt idx="618">
                  <c:v>-3.6075530811639767</c:v>
                </c:pt>
                <c:pt idx="619">
                  <c:v>-3.6195856195511436</c:v>
                </c:pt>
                <c:pt idx="620">
                  <c:v>-3.6316181822120766</c:v>
                </c:pt>
                <c:pt idx="621">
                  <c:v>-3.6436507691463951</c:v>
                </c:pt>
                <c:pt idx="622">
                  <c:v>-3.6556833803537181</c:v>
                </c:pt>
                <c:pt idx="623">
                  <c:v>-3.667716015833665</c:v>
                </c:pt>
                <c:pt idx="624">
                  <c:v>-3.6797486755858548</c:v>
                </c:pt>
                <c:pt idx="625">
                  <c:v>-3.6917813596099065</c:v>
                </c:pt>
                <c:pt idx="626">
                  <c:v>-3.7038140679054394</c:v>
                </c:pt>
                <c:pt idx="627">
                  <c:v>-3.7158468004720726</c:v>
                </c:pt>
                <c:pt idx="628">
                  <c:v>-3.727879557309425</c:v>
                </c:pt>
                <c:pt idx="629">
                  <c:v>-3.739912338417116</c:v>
                </c:pt>
                <c:pt idx="630">
                  <c:v>-3.7519451437947646</c:v>
                </c:pt>
                <c:pt idx="631">
                  <c:v>-3.7639779734419903</c:v>
                </c:pt>
                <c:pt idx="632">
                  <c:v>-3.7760108273584119</c:v>
                </c:pt>
                <c:pt idx="633">
                  <c:v>-3.7880437055436484</c:v>
                </c:pt>
                <c:pt idx="634">
                  <c:v>-3.8000766079973194</c:v>
                </c:pt>
                <c:pt idx="635">
                  <c:v>-3.8121095347190437</c:v>
                </c:pt>
                <c:pt idx="636">
                  <c:v>-3.8241424857084407</c:v>
                </c:pt>
                <c:pt idx="637">
                  <c:v>-3.8361754609651295</c:v>
                </c:pt>
                <c:pt idx="638">
                  <c:v>-3.8482084604887294</c:v>
                </c:pt>
                <c:pt idx="639">
                  <c:v>-3.8602414842788595</c:v>
                </c:pt>
                <c:pt idx="640">
                  <c:v>-3.8722745323351386</c:v>
                </c:pt>
                <c:pt idx="641">
                  <c:v>-3.8843076046571863</c:v>
                </c:pt>
                <c:pt idx="642">
                  <c:v>-3.8963407012446218</c:v>
                </c:pt>
                <c:pt idx="643">
                  <c:v>-3.9083738220970643</c:v>
                </c:pt>
                <c:pt idx="644">
                  <c:v>-3.9204069672141326</c:v>
                </c:pt>
                <c:pt idx="645">
                  <c:v>-3.9324401365954462</c:v>
                </c:pt>
                <c:pt idx="646">
                  <c:v>-3.9444733302406241</c:v>
                </c:pt>
                <c:pt idx="647">
                  <c:v>-3.9565065481492856</c:v>
                </c:pt>
                <c:pt idx="648">
                  <c:v>-3.9685397903210502</c:v>
                </c:pt>
                <c:pt idx="649">
                  <c:v>-3.9805730567555369</c:v>
                </c:pt>
                <c:pt idx="650">
                  <c:v>-3.9926063474523645</c:v>
                </c:pt>
                <c:pt idx="651">
                  <c:v>-4.0046396624111527</c:v>
                </c:pt>
                <c:pt idx="652">
                  <c:v>-4.0166730016315206</c:v>
                </c:pt>
                <c:pt idx="653">
                  <c:v>-4.0287063651130879</c:v>
                </c:pt>
                <c:pt idx="654">
                  <c:v>-4.0407397528554725</c:v>
                </c:pt>
                <c:pt idx="655">
                  <c:v>-4.0527731648582952</c:v>
                </c:pt>
                <c:pt idx="656">
                  <c:v>-4.0648066011211741</c:v>
                </c:pt>
                <c:pt idx="657">
                  <c:v>-4.076840061643729</c:v>
                </c:pt>
                <c:pt idx="658">
                  <c:v>-4.088873546425579</c:v>
                </c:pt>
                <c:pt idx="659">
                  <c:v>-4.1009070554663429</c:v>
                </c:pt>
                <c:pt idx="660">
                  <c:v>-4.1129405887656407</c:v>
                </c:pt>
                <c:pt idx="661">
                  <c:v>-4.1249741463230905</c:v>
                </c:pt>
                <c:pt idx="662">
                  <c:v>-4.1370077281383129</c:v>
                </c:pt>
                <c:pt idx="663">
                  <c:v>-4.149041334210926</c:v>
                </c:pt>
                <c:pt idx="664">
                  <c:v>-4.1610749645405498</c:v>
                </c:pt>
                <c:pt idx="665">
                  <c:v>-4.1731086191268032</c:v>
                </c:pt>
                <c:pt idx="666">
                  <c:v>-4.185142297969306</c:v>
                </c:pt>
                <c:pt idx="667">
                  <c:v>-4.1971760010676764</c:v>
                </c:pt>
                <c:pt idx="668">
                  <c:v>-4.2092097284215351</c:v>
                </c:pt>
                <c:pt idx="669">
                  <c:v>-4.2212434800305001</c:v>
                </c:pt>
                <c:pt idx="670">
                  <c:v>-4.2332772558941913</c:v>
                </c:pt>
                <c:pt idx="671">
                  <c:v>-4.2453110560122278</c:v>
                </c:pt>
                <c:pt idx="672">
                  <c:v>-4.2573448803842284</c:v>
                </c:pt>
                <c:pt idx="673">
                  <c:v>-4.2693787290098131</c:v>
                </c:pt>
                <c:pt idx="674">
                  <c:v>-4.2814126018886007</c:v>
                </c:pt>
                <c:pt idx="675">
                  <c:v>-4.2934464990202112</c:v>
                </c:pt>
                <c:pt idx="676">
                  <c:v>-4.3054804204042636</c:v>
                </c:pt>
                <c:pt idx="677">
                  <c:v>-4.3175143660403767</c:v>
                </c:pt>
                <c:pt idx="678">
                  <c:v>-4.3295483359281697</c:v>
                </c:pt>
                <c:pt idx="679">
                  <c:v>-4.3415823300672622</c:v>
                </c:pt>
                <c:pt idx="680">
                  <c:v>-4.3536163484572743</c:v>
                </c:pt>
                <c:pt idx="681">
                  <c:v>-4.3656503910978239</c:v>
                </c:pt>
                <c:pt idx="682">
                  <c:v>-4.377684457988531</c:v>
                </c:pt>
                <c:pt idx="683">
                  <c:v>-4.3897185491290154</c:v>
                </c:pt>
                <c:pt idx="684">
                  <c:v>-4.401752664518896</c:v>
                </c:pt>
                <c:pt idx="685">
                  <c:v>-4.4137868041577919</c:v>
                </c:pt>
                <c:pt idx="686">
                  <c:v>-4.425820968045322</c:v>
                </c:pt>
                <c:pt idx="687">
                  <c:v>-4.4378551561811062</c:v>
                </c:pt>
                <c:pt idx="688">
                  <c:v>-4.4498893685647642</c:v>
                </c:pt>
                <c:pt idx="689">
                  <c:v>-4.4619236051959152</c:v>
                </c:pt>
                <c:pt idx="690">
                  <c:v>-4.4739578660741781</c:v>
                </c:pt>
                <c:pt idx="691">
                  <c:v>-4.4859921511991718</c:v>
                </c:pt>
                <c:pt idx="692">
                  <c:v>-4.4980264605705162</c:v>
                </c:pt>
                <c:pt idx="693">
                  <c:v>-4.5100607941878312</c:v>
                </c:pt>
                <c:pt idx="694">
                  <c:v>-4.5220951520507358</c:v>
                </c:pt>
                <c:pt idx="695">
                  <c:v>-4.5341295341588488</c:v>
                </c:pt>
                <c:pt idx="696">
                  <c:v>-4.5461639405117893</c:v>
                </c:pt>
                <c:pt idx="697">
                  <c:v>-4.5581983711091771</c:v>
                </c:pt>
                <c:pt idx="698">
                  <c:v>-4.5702328259506322</c:v>
                </c:pt>
                <c:pt idx="699">
                  <c:v>-4.5822673050357734</c:v>
                </c:pt>
                <c:pt idx="700">
                  <c:v>-4.5943018083642198</c:v>
                </c:pt>
                <c:pt idx="701">
                  <c:v>-4.6063363359355911</c:v>
                </c:pt>
                <c:pt idx="702">
                  <c:v>-4.6183708877495064</c:v>
                </c:pt>
                <c:pt idx="703">
                  <c:v>-4.6304054638055856</c:v>
                </c:pt>
                <c:pt idx="704">
                  <c:v>-4.6424400641034476</c:v>
                </c:pt>
                <c:pt idx="705">
                  <c:v>-4.6544746886427122</c:v>
                </c:pt>
                <c:pt idx="706">
                  <c:v>-4.6665093374229984</c:v>
                </c:pt>
                <c:pt idx="707">
                  <c:v>-4.6785440104439253</c:v>
                </c:pt>
                <c:pt idx="708">
                  <c:v>-4.6905787077051126</c:v>
                </c:pt>
                <c:pt idx="709">
                  <c:v>-4.7026134292061803</c:v>
                </c:pt>
                <c:pt idx="710">
                  <c:v>-4.7146481749467473</c:v>
                </c:pt>
                <c:pt idx="711">
                  <c:v>-4.7266829449264325</c:v>
                </c:pt>
                <c:pt idx="712">
                  <c:v>-4.7387177391448558</c:v>
                </c:pt>
                <c:pt idx="713">
                  <c:v>-4.7507525576016363</c:v>
                </c:pt>
                <c:pt idx="714">
                  <c:v>-4.7627874002963937</c:v>
                </c:pt>
                <c:pt idx="715">
                  <c:v>-4.7748222672287479</c:v>
                </c:pt>
                <c:pt idx="716">
                  <c:v>-4.786857158398317</c:v>
                </c:pt>
                <c:pt idx="717">
                  <c:v>-4.7988920738047218</c:v>
                </c:pt>
                <c:pt idx="718">
                  <c:v>-4.8109270134475812</c:v>
                </c:pt>
                <c:pt idx="719">
                  <c:v>-4.8229619773265142</c:v>
                </c:pt>
                <c:pt idx="720">
                  <c:v>-4.8349969654411407</c:v>
                </c:pt>
                <c:pt idx="721">
                  <c:v>-4.8470319777910795</c:v>
                </c:pt>
                <c:pt idx="722">
                  <c:v>-4.8590670143759507</c:v>
                </c:pt>
                <c:pt idx="723">
                  <c:v>-4.8711020751953731</c:v>
                </c:pt>
                <c:pt idx="724">
                  <c:v>-4.8831371602489666</c:v>
                </c:pt>
                <c:pt idx="725">
                  <c:v>-4.8951722695363502</c:v>
                </c:pt>
                <c:pt idx="726">
                  <c:v>-4.9072074030571438</c:v>
                </c:pt>
                <c:pt idx="727">
                  <c:v>-4.9192425608109671</c:v>
                </c:pt>
                <c:pt idx="728">
                  <c:v>-4.9312777427974392</c:v>
                </c:pt>
                <c:pt idx="729">
                  <c:v>-4.9433129490161791</c:v>
                </c:pt>
                <c:pt idx="730">
                  <c:v>-4.9553481794668066</c:v>
                </c:pt>
                <c:pt idx="731">
                  <c:v>-4.9673834341489416</c:v>
                </c:pt>
                <c:pt idx="732">
                  <c:v>-4.979418713062203</c:v>
                </c:pt>
                <c:pt idx="733">
                  <c:v>-4.9914540162062107</c:v>
                </c:pt>
                <c:pt idx="734">
                  <c:v>-5.0034893435805836</c:v>
                </c:pt>
                <c:pt idx="735">
                  <c:v>-5.0155246951849417</c:v>
                </c:pt>
                <c:pt idx="736">
                  <c:v>-5.0275600710189039</c:v>
                </c:pt>
                <c:pt idx="737">
                  <c:v>-5.0395954710820901</c:v>
                </c:pt>
                <c:pt idx="738">
                  <c:v>-5.0516308953741191</c:v>
                </c:pt>
                <c:pt idx="739">
                  <c:v>-5.063666343894611</c:v>
                </c:pt>
                <c:pt idx="740">
                  <c:v>-5.0757018166431855</c:v>
                </c:pt>
                <c:pt idx="741">
                  <c:v>-5.0877373136194617</c:v>
                </c:pt>
                <c:pt idx="742">
                  <c:v>-5.0997728348230593</c:v>
                </c:pt>
                <c:pt idx="743">
                  <c:v>-5.1118083802535974</c:v>
                </c:pt>
                <c:pt idx="744">
                  <c:v>-5.1238439499106958</c:v>
                </c:pt>
                <c:pt idx="745">
                  <c:v>-5.1358795437939744</c:v>
                </c:pt>
                <c:pt idx="746">
                  <c:v>-5.1479151619030521</c:v>
                </c:pt>
                <c:pt idx="747">
                  <c:v>-5.1599508042375479</c:v>
                </c:pt>
                <c:pt idx="748">
                  <c:v>-5.1719864707970826</c:v>
                </c:pt>
                <c:pt idx="749">
                  <c:v>-5.1840221615812752</c:v>
                </c:pt>
                <c:pt idx="750">
                  <c:v>-5.1960578765897445</c:v>
                </c:pt>
                <c:pt idx="751">
                  <c:v>-5.2080936158221105</c:v>
                </c:pt>
                <c:pt idx="752">
                  <c:v>-5.220129379277993</c:v>
                </c:pt>
                <c:pt idx="753">
                  <c:v>-5.2321651669570111</c:v>
                </c:pt>
                <c:pt idx="754">
                  <c:v>-5.2442009788587844</c:v>
                </c:pt>
                <c:pt idx="755">
                  <c:v>-5.256236814982933</c:v>
                </c:pt>
                <c:pt idx="756">
                  <c:v>-5.2682726753290758</c:v>
                </c:pt>
                <c:pt idx="757">
                  <c:v>-5.2803085598968327</c:v>
                </c:pt>
                <c:pt idx="758">
                  <c:v>-5.2923444686858225</c:v>
                </c:pt>
                <c:pt idx="759">
                  <c:v>-5.3043804016956662</c:v>
                </c:pt>
                <c:pt idx="760">
                  <c:v>-5.3164163589259816</c:v>
                </c:pt>
                <c:pt idx="761">
                  <c:v>-5.3284523403763897</c:v>
                </c:pt>
                <c:pt idx="762">
                  <c:v>-5.3404883460465093</c:v>
                </c:pt>
                <c:pt idx="763">
                  <c:v>-5.3525243759359595</c:v>
                </c:pt>
                <c:pt idx="764">
                  <c:v>-5.364560430044361</c:v>
                </c:pt>
                <c:pt idx="765">
                  <c:v>-5.3765965083713327</c:v>
                </c:pt>
                <c:pt idx="766">
                  <c:v>-5.3886326109164946</c:v>
                </c:pt>
                <c:pt idx="767">
                  <c:v>-5.4006687376794655</c:v>
                </c:pt>
                <c:pt idx="768">
                  <c:v>-5.4127048886598654</c:v>
                </c:pt>
                <c:pt idx="769">
                  <c:v>-5.4247410638573141</c:v>
                </c:pt>
                <c:pt idx="770">
                  <c:v>-5.4367772632714306</c:v>
                </c:pt>
                <c:pt idx="771">
                  <c:v>-5.4488134869018348</c:v>
                </c:pt>
                <c:pt idx="772">
                  <c:v>-5.4608497347481464</c:v>
                </c:pt>
                <c:pt idx="773">
                  <c:v>-5.4728860068099845</c:v>
                </c:pt>
                <c:pt idx="774">
                  <c:v>-5.4849223030869689</c:v>
                </c:pt>
                <c:pt idx="775">
                  <c:v>-5.4969586235787196</c:v>
                </c:pt>
                <c:pt idx="776">
                  <c:v>-5.5089949682848554</c:v>
                </c:pt>
                <c:pt idx="777">
                  <c:v>-5.5210313372049971</c:v>
                </c:pt>
                <c:pt idx="778">
                  <c:v>-5.5330677303387628</c:v>
                </c:pt>
                <c:pt idx="779">
                  <c:v>-5.5451041476857732</c:v>
                </c:pt>
                <c:pt idx="780">
                  <c:v>-5.5571405892456474</c:v>
                </c:pt>
                <c:pt idx="781">
                  <c:v>-5.5691770550180051</c:v>
                </c:pt>
                <c:pt idx="782">
                  <c:v>-5.5812135450024662</c:v>
                </c:pt>
                <c:pt idx="783">
                  <c:v>-5.5932500591986498</c:v>
                </c:pt>
                <c:pt idx="784">
                  <c:v>-5.6052865976061756</c:v>
                </c:pt>
                <c:pt idx="785">
                  <c:v>-5.6173231602246636</c:v>
                </c:pt>
                <c:pt idx="786">
                  <c:v>-5.6293597470537335</c:v>
                </c:pt>
                <c:pt idx="787">
                  <c:v>-5.6413963580930044</c:v>
                </c:pt>
                <c:pt idx="788">
                  <c:v>-5.6534329933420961</c:v>
                </c:pt>
                <c:pt idx="789">
                  <c:v>-5.6654696528006285</c:v>
                </c:pt>
                <c:pt idx="790">
                  <c:v>-5.6775063364682214</c:v>
                </c:pt>
                <c:pt idx="791">
                  <c:v>-5.6895430443444939</c:v>
                </c:pt>
                <c:pt idx="792">
                  <c:v>-5.7015797764290657</c:v>
                </c:pt>
                <c:pt idx="793">
                  <c:v>-5.7136165327215567</c:v>
                </c:pt>
                <c:pt idx="794">
                  <c:v>-5.7256533132215859</c:v>
                </c:pt>
                <c:pt idx="795">
                  <c:v>-5.737690117928774</c:v>
                </c:pt>
                <c:pt idx="796">
                  <c:v>-5.7497269468427401</c:v>
                </c:pt>
                <c:pt idx="797">
                  <c:v>-5.7617637999631039</c:v>
                </c:pt>
                <c:pt idx="798">
                  <c:v>-5.7738006772894845</c:v>
                </c:pt>
                <c:pt idx="799">
                  <c:v>-5.7858375788215026</c:v>
                </c:pt>
                <c:pt idx="800">
                  <c:v>-5.7978745045587772</c:v>
                </c:pt>
                <c:pt idx="801">
                  <c:v>-5.8099114545009281</c:v>
                </c:pt>
                <c:pt idx="802">
                  <c:v>-5.8219484286475742</c:v>
                </c:pt>
                <c:pt idx="803">
                  <c:v>-5.8339854269983364</c:v>
                </c:pt>
                <c:pt idx="804">
                  <c:v>-5.8460224495528337</c:v>
                </c:pt>
                <c:pt idx="805">
                  <c:v>-5.8580594963106858</c:v>
                </c:pt>
                <c:pt idx="806">
                  <c:v>-5.8700965672715126</c:v>
                </c:pt>
                <c:pt idx="807">
                  <c:v>-5.8821336624349341</c:v>
                </c:pt>
                <c:pt idx="808">
                  <c:v>-5.8941707818005691</c:v>
                </c:pt>
                <c:pt idx="809">
                  <c:v>-5.9062079253680384</c:v>
                </c:pt>
                <c:pt idx="810">
                  <c:v>-5.918245093136961</c:v>
                </c:pt>
                <c:pt idx="811">
                  <c:v>-5.9302822851069568</c:v>
                </c:pt>
                <c:pt idx="812">
                  <c:v>-5.9423195012776455</c:v>
                </c:pt>
                <c:pt idx="813">
                  <c:v>-5.9543567416486463</c:v>
                </c:pt>
                <c:pt idx="814">
                  <c:v>-5.9663940062195797</c:v>
                </c:pt>
                <c:pt idx="815">
                  <c:v>-5.9784312949900649</c:v>
                </c:pt>
                <c:pt idx="816">
                  <c:v>-5.9904686079597216</c:v>
                </c:pt>
                <c:pt idx="817">
                  <c:v>-6.0025059451281697</c:v>
                </c:pt>
                <c:pt idx="818">
                  <c:v>-6.0145433064950282</c:v>
                </c:pt>
                <c:pt idx="819">
                  <c:v>-6.0265806920599179</c:v>
                </c:pt>
                <c:pt idx="820">
                  <c:v>-6.0386181018224576</c:v>
                </c:pt>
                <c:pt idx="821">
                  <c:v>-6.0506555357822682</c:v>
                </c:pt>
                <c:pt idx="822">
                  <c:v>-6.0626929939389687</c:v>
                </c:pt>
                <c:pt idx="823">
                  <c:v>-6.0747304762921788</c:v>
                </c:pt>
                <c:pt idx="824">
                  <c:v>-6.0867679828415184</c:v>
                </c:pt>
                <c:pt idx="825">
                  <c:v>-6.0988055135866066</c:v>
                </c:pt>
                <c:pt idx="826">
                  <c:v>-6.110843068527064</c:v>
                </c:pt>
                <c:pt idx="827">
                  <c:v>-6.1228806476625097</c:v>
                </c:pt>
                <c:pt idx="828">
                  <c:v>-6.1349182509925635</c:v>
                </c:pt>
                <c:pt idx="829">
                  <c:v>-6.1469558785168461</c:v>
                </c:pt>
                <c:pt idx="830">
                  <c:v>-6.1589935302349765</c:v>
                </c:pt>
                <c:pt idx="831">
                  <c:v>-6.1710312061465746</c:v>
                </c:pt>
                <c:pt idx="832">
                  <c:v>-6.1830689062512594</c:v>
                </c:pt>
                <c:pt idx="833">
                  <c:v>-6.1951066305486515</c:v>
                </c:pt>
                <c:pt idx="834">
                  <c:v>-6.2071443790383709</c:v>
                </c:pt>
                <c:pt idx="835">
                  <c:v>-6.2191821517200365</c:v>
                </c:pt>
                <c:pt idx="836">
                  <c:v>-6.2312199485932691</c:v>
                </c:pt>
                <c:pt idx="837">
                  <c:v>-6.2432577696576876</c:v>
                </c:pt>
                <c:pt idx="838">
                  <c:v>-6.255295614912912</c:v>
                </c:pt>
                <c:pt idx="839">
                  <c:v>-6.267333484358562</c:v>
                </c:pt>
                <c:pt idx="840">
                  <c:v>-6.2793713779942575</c:v>
                </c:pt>
                <c:pt idx="841">
                  <c:v>-6.2914092958196184</c:v>
                </c:pt>
                <c:pt idx="842">
                  <c:v>-6.3034472378342645</c:v>
                </c:pt>
                <c:pt idx="843">
                  <c:v>-6.3154852040378158</c:v>
                </c:pt>
                <c:pt idx="844">
                  <c:v>-6.3275231944298911</c:v>
                </c:pt>
                <c:pt idx="845">
                  <c:v>-6.3395612090101112</c:v>
                </c:pt>
                <c:pt idx="846">
                  <c:v>-6.351599247778096</c:v>
                </c:pt>
                <c:pt idx="847">
                  <c:v>-6.3636373107334645</c:v>
                </c:pt>
                <c:pt idx="848">
                  <c:v>-6.3756753978758374</c:v>
                </c:pt>
                <c:pt idx="849">
                  <c:v>-6.3877135092048336</c:v>
                </c:pt>
                <c:pt idx="850">
                  <c:v>-6.3997516447200731</c:v>
                </c:pt>
                <c:pt idx="851">
                  <c:v>-6.4117898044211765</c:v>
                </c:pt>
                <c:pt idx="852">
                  <c:v>-6.4238279883077629</c:v>
                </c:pt>
                <c:pt idx="853">
                  <c:v>-6.4358661963794521</c:v>
                </c:pt>
                <c:pt idx="854">
                  <c:v>-6.447904428635864</c:v>
                </c:pt>
                <c:pt idx="855">
                  <c:v>-6.4599426850766184</c:v>
                </c:pt>
                <c:pt idx="856">
                  <c:v>-6.4719809657013352</c:v>
                </c:pt>
                <c:pt idx="857">
                  <c:v>-6.4840192705096342</c:v>
                </c:pt>
                <c:pt idx="858">
                  <c:v>-6.4960575995011354</c:v>
                </c:pt>
                <c:pt idx="859">
                  <c:v>-6.5080959526754585</c:v>
                </c:pt>
                <c:pt idx="860">
                  <c:v>-6.5201343300322234</c:v>
                </c:pt>
                <c:pt idx="861">
                  <c:v>-6.5321727315710501</c:v>
                </c:pt>
                <c:pt idx="862">
                  <c:v>-6.5442111572915582</c:v>
                </c:pt>
                <c:pt idx="863">
                  <c:v>-6.5562496071933678</c:v>
                </c:pt>
                <c:pt idx="864">
                  <c:v>-6.5682880812760986</c:v>
                </c:pt>
                <c:pt idx="865">
                  <c:v>-6.5803265795393706</c:v>
                </c:pt>
                <c:pt idx="866">
                  <c:v>-6.5923651019828036</c:v>
                </c:pt>
                <c:pt idx="867">
                  <c:v>-6.6044036486060174</c:v>
                </c:pt>
                <c:pt idx="868">
                  <c:v>-6.6164422194086319</c:v>
                </c:pt>
                <c:pt idx="869">
                  <c:v>-6.6284808143902669</c:v>
                </c:pt>
                <c:pt idx="870">
                  <c:v>-6.6405194335505424</c:v>
                </c:pt>
                <c:pt idx="871">
                  <c:v>-6.6525580768890782</c:v>
                </c:pt>
                <c:pt idx="872">
                  <c:v>-6.6645967444054941</c:v>
                </c:pt>
                <c:pt idx="873">
                  <c:v>-6.67663543609941</c:v>
                </c:pt>
                <c:pt idx="874">
                  <c:v>-6.6886741519704458</c:v>
                </c:pt>
                <c:pt idx="875">
                  <c:v>-6.7007128920182213</c:v>
                </c:pt>
                <c:pt idx="876">
                  <c:v>-6.7127516562423564</c:v>
                </c:pt>
                <c:pt idx="877">
                  <c:v>-6.7247904446424709</c:v>
                </c:pt>
                <c:pt idx="878">
                  <c:v>-6.7368292572181856</c:v>
                </c:pt>
                <c:pt idx="879">
                  <c:v>-6.7488680939691195</c:v>
                </c:pt>
                <c:pt idx="880">
                  <c:v>-6.7609069548948924</c:v>
                </c:pt>
                <c:pt idx="881">
                  <c:v>-6.772945839995125</c:v>
                </c:pt>
                <c:pt idx="882">
                  <c:v>-6.7849847492694364</c:v>
                </c:pt>
                <c:pt idx="883">
                  <c:v>-6.7970236827174473</c:v>
                </c:pt>
                <c:pt idx="884">
                  <c:v>-6.8090626403387766</c:v>
                </c:pt>
                <c:pt idx="885">
                  <c:v>-6.8211016221330452</c:v>
                </c:pt>
                <c:pt idx="886">
                  <c:v>-6.8331406280998719</c:v>
                </c:pt>
                <c:pt idx="887">
                  <c:v>-6.8451796582388775</c:v>
                </c:pt>
                <c:pt idx="888">
                  <c:v>-6.857218712549682</c:v>
                </c:pt>
                <c:pt idx="889">
                  <c:v>-6.869257791031905</c:v>
                </c:pt>
                <c:pt idx="890">
                  <c:v>-6.8812968936851666</c:v>
                </c:pt>
                <c:pt idx="891">
                  <c:v>-6.8933360205090866</c:v>
                </c:pt>
                <c:pt idx="892">
                  <c:v>-6.9053751715032847</c:v>
                </c:pt>
                <c:pt idx="893">
                  <c:v>-6.917414346667381</c:v>
                </c:pt>
                <c:pt idx="894">
                  <c:v>-6.9294535460009961</c:v>
                </c:pt>
                <c:pt idx="895">
                  <c:v>-6.9414927695037489</c:v>
                </c:pt>
                <c:pt idx="896">
                  <c:v>-6.9535320171752604</c:v>
                </c:pt>
                <c:pt idx="897">
                  <c:v>-6.9655712890151502</c:v>
                </c:pt>
                <c:pt idx="898">
                  <c:v>-6.9776105850230374</c:v>
                </c:pt>
                <c:pt idx="899">
                  <c:v>-6.9896499051985428</c:v>
                </c:pt>
                <c:pt idx="900">
                  <c:v>-7.0016892495412861</c:v>
                </c:pt>
                <c:pt idx="901">
                  <c:v>-7.0137286180508873</c:v>
                </c:pt>
                <c:pt idx="902">
                  <c:v>-7.0257680107269671</c:v>
                </c:pt>
                <c:pt idx="903">
                  <c:v>-7.0378074275691445</c:v>
                </c:pt>
                <c:pt idx="904">
                  <c:v>-7.0498468685770392</c:v>
                </c:pt>
                <c:pt idx="905">
                  <c:v>-7.0618863337502722</c:v>
                </c:pt>
                <c:pt idx="906">
                  <c:v>-7.0739258230884632</c:v>
                </c:pt>
                <c:pt idx="907">
                  <c:v>-7.0859653365912321</c:v>
                </c:pt>
                <c:pt idx="908">
                  <c:v>-7.0980048742581987</c:v>
                </c:pt>
                <c:pt idx="909">
                  <c:v>-7.110044436088983</c:v>
                </c:pt>
                <c:pt idx="910">
                  <c:v>-7.1220840220832056</c:v>
                </c:pt>
                <c:pt idx="911">
                  <c:v>-7.1341236322404855</c:v>
                </c:pt>
                <c:pt idx="912">
                  <c:v>-7.1461632665604435</c:v>
                </c:pt>
                <c:pt idx="913">
                  <c:v>-7.1582029250426995</c:v>
                </c:pt>
                <c:pt idx="914">
                  <c:v>-7.1702426076868733</c:v>
                </c:pt>
                <c:pt idx="915">
                  <c:v>-7.1822823144925847</c:v>
                </c:pt>
                <c:pt idx="916">
                  <c:v>-7.1943220454594536</c:v>
                </c:pt>
                <c:pt idx="917">
                  <c:v>-7.2063618005871009</c:v>
                </c:pt>
                <c:pt idx="918">
                  <c:v>-7.2184015798751453</c:v>
                </c:pt>
                <c:pt idx="919">
                  <c:v>-7.2304413833232077</c:v>
                </c:pt>
                <c:pt idx="920">
                  <c:v>-7.242481210930908</c:v>
                </c:pt>
                <c:pt idx="921">
                  <c:v>-7.2545210626978669</c:v>
                </c:pt>
                <c:pt idx="922">
                  <c:v>-7.2665609386237033</c:v>
                </c:pt>
                <c:pt idx="923">
                  <c:v>-7.2786008387080381</c:v>
                </c:pt>
                <c:pt idx="924">
                  <c:v>-7.290640762950491</c:v>
                </c:pt>
                <c:pt idx="925">
                  <c:v>-7.302680711350682</c:v>
                </c:pt>
                <c:pt idx="926">
                  <c:v>-7.3147206839082308</c:v>
                </c:pt>
                <c:pt idx="927">
                  <c:v>-7.3267606806227574</c:v>
                </c:pt>
                <c:pt idx="928">
                  <c:v>-7.3388007014938825</c:v>
                </c:pt>
                <c:pt idx="929">
                  <c:v>-7.350840746521226</c:v>
                </c:pt>
                <c:pt idx="930">
                  <c:v>-7.3628808157044077</c:v>
                </c:pt>
                <c:pt idx="931">
                  <c:v>-7.3749209090430474</c:v>
                </c:pt>
                <c:pt idx="932">
                  <c:v>-7.386961026536766</c:v>
                </c:pt>
                <c:pt idx="933">
                  <c:v>-7.3990011681851833</c:v>
                </c:pt>
                <c:pt idx="934">
                  <c:v>-7.4110413339879191</c:v>
                </c:pt>
                <c:pt idx="935">
                  <c:v>-7.4230815239445933</c:v>
                </c:pt>
                <c:pt idx="936">
                  <c:v>-7.4351217380548258</c:v>
                </c:pt>
                <c:pt idx="937">
                  <c:v>-7.4471619763182373</c:v>
                </c:pt>
                <c:pt idx="938">
                  <c:v>-7.4592022387344477</c:v>
                </c:pt>
                <c:pt idx="939">
                  <c:v>-7.4712425253030768</c:v>
                </c:pt>
                <c:pt idx="940">
                  <c:v>-7.4832828360237453</c:v>
                </c:pt>
                <c:pt idx="941">
                  <c:v>-7.4953231708960733</c:v>
                </c:pt>
                <c:pt idx="942">
                  <c:v>-7.5073635299196804</c:v>
                </c:pt>
                <c:pt idx="943">
                  <c:v>-7.5194039130941865</c:v>
                </c:pt>
                <c:pt idx="944">
                  <c:v>-7.5314443204192116</c:v>
                </c:pt>
                <c:pt idx="945">
                  <c:v>-7.5434847518943764</c:v>
                </c:pt>
                <c:pt idx="946">
                  <c:v>-7.5555252075193007</c:v>
                </c:pt>
                <c:pt idx="947">
                  <c:v>-7.5675656872936052</c:v>
                </c:pt>
                <c:pt idx="948">
                  <c:v>-7.579606191216909</c:v>
                </c:pt>
                <c:pt idx="949">
                  <c:v>-7.5916467192888328</c:v>
                </c:pt>
                <c:pt idx="950">
                  <c:v>-7.6036872715089974</c:v>
                </c:pt>
                <c:pt idx="951">
                  <c:v>-7.6157278478770216</c:v>
                </c:pt>
                <c:pt idx="952">
                  <c:v>-7.6277684483925263</c:v>
                </c:pt>
                <c:pt idx="953">
                  <c:v>-7.6398090730551313</c:v>
                </c:pt>
                <c:pt idx="954">
                  <c:v>-7.6518497218644566</c:v>
                </c:pt>
                <c:pt idx="955">
                  <c:v>-7.6638903948201227</c:v>
                </c:pt>
                <c:pt idx="956">
                  <c:v>-7.6759310919217496</c:v>
                </c:pt>
                <c:pt idx="957">
                  <c:v>-7.6879718131689572</c:v>
                </c:pt>
                <c:pt idx="958">
                  <c:v>-7.7000125585613661</c:v>
                </c:pt>
                <c:pt idx="959">
                  <c:v>-7.7120533280985963</c:v>
                </c:pt>
                <c:pt idx="960">
                  <c:v>-7.7240941217802677</c:v>
                </c:pt>
                <c:pt idx="961">
                  <c:v>-7.7361349396060008</c:v>
                </c:pt>
                <c:pt idx="962">
                  <c:v>-7.7481757815754158</c:v>
                </c:pt>
                <c:pt idx="963">
                  <c:v>-7.7602166476881322</c:v>
                </c:pt>
                <c:pt idx="964">
                  <c:v>-7.7722575379437711</c:v>
                </c:pt>
                <c:pt idx="965">
                  <c:v>-7.7842984523419521</c:v>
                </c:pt>
                <c:pt idx="966">
                  <c:v>-7.7963393908822951</c:v>
                </c:pt>
                <c:pt idx="967">
                  <c:v>-7.8083803535644201</c:v>
                </c:pt>
                <c:pt idx="968">
                  <c:v>-7.8204213403879477</c:v>
                </c:pt>
                <c:pt idx="969">
                  <c:v>-7.8324623513524987</c:v>
                </c:pt>
                <c:pt idx="970">
                  <c:v>-7.8445033864576921</c:v>
                </c:pt>
                <c:pt idx="971">
                  <c:v>-7.8565444457031495</c:v>
                </c:pt>
                <c:pt idx="972">
                  <c:v>-7.8685855290884898</c:v>
                </c:pt>
                <c:pt idx="973">
                  <c:v>-7.880626636613334</c:v>
                </c:pt>
                <c:pt idx="974">
                  <c:v>-7.8926677682773017</c:v>
                </c:pt>
                <c:pt idx="975">
                  <c:v>-7.9047089240800128</c:v>
                </c:pt>
                <c:pt idx="976">
                  <c:v>-7.9167501040210881</c:v>
                </c:pt>
                <c:pt idx="977">
                  <c:v>-7.9287913081001475</c:v>
                </c:pt>
                <c:pt idx="978">
                  <c:v>-7.9408325363168117</c:v>
                </c:pt>
                <c:pt idx="979">
                  <c:v>-7.9528737886707006</c:v>
                </c:pt>
                <c:pt idx="980">
                  <c:v>-7.9649150651614349</c:v>
                </c:pt>
                <c:pt idx="981">
                  <c:v>-7.9769563657886335</c:v>
                </c:pt>
                <c:pt idx="982">
                  <c:v>-7.9889976905519182</c:v>
                </c:pt>
                <c:pt idx="983">
                  <c:v>-8.0010390394509088</c:v>
                </c:pt>
                <c:pt idx="984">
                  <c:v>-8.0130804124852251</c:v>
                </c:pt>
                <c:pt idx="985">
                  <c:v>-8.0251218096544861</c:v>
                </c:pt>
                <c:pt idx="986">
                  <c:v>-8.0371632309583134</c:v>
                </c:pt>
                <c:pt idx="987">
                  <c:v>-8.049204676396327</c:v>
                </c:pt>
                <c:pt idx="988">
                  <c:v>-8.0612461459681484</c:v>
                </c:pt>
                <c:pt idx="989">
                  <c:v>-8.0732876396733957</c:v>
                </c:pt>
                <c:pt idx="990">
                  <c:v>-8.0853291575116906</c:v>
                </c:pt>
                <c:pt idx="991">
                  <c:v>-8.0973706994826529</c:v>
                </c:pt>
                <c:pt idx="992">
                  <c:v>-8.1094122655859024</c:v>
                </c:pt>
                <c:pt idx="993">
                  <c:v>-8.1214538558210609</c:v>
                </c:pt>
                <c:pt idx="994">
                  <c:v>-8.1334954701877464</c:v>
                </c:pt>
                <c:pt idx="995">
                  <c:v>-8.1455371086855806</c:v>
                </c:pt>
                <c:pt idx="996">
                  <c:v>-8.1575787713141832</c:v>
                </c:pt>
                <c:pt idx="997">
                  <c:v>-8.1696204580731742</c:v>
                </c:pt>
                <c:pt idx="998">
                  <c:v>-8.1816621689621751</c:v>
                </c:pt>
                <c:pt idx="999">
                  <c:v>-8.1937039039808059</c:v>
                </c:pt>
                <c:pt idx="1000">
                  <c:v>-8.2057456631286865</c:v>
                </c:pt>
              </c:numCache>
            </c:numRef>
          </c:yVal>
          <c:smooth val="1"/>
          <c:extLst>
            <c:ext xmlns:c16="http://schemas.microsoft.com/office/drawing/2014/chart" uri="{C3380CC4-5D6E-409C-BE32-E72D297353CC}">
              <c16:uniqueId val="{00000002-4C7F-469F-ADED-1B0B28F452E1}"/>
            </c:ext>
          </c:extLst>
        </c:ser>
        <c:ser>
          <c:idx val="2"/>
          <c:order val="3"/>
          <c:tx>
            <c:strRef>
              <c:f>Trajecto!$B$109</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Trajecto!$B$132:$B$138</c:f>
              <c:numCache>
                <c:formatCode>0.0</c:formatCode>
                <c:ptCount val="7"/>
                <c:pt idx="0">
                  <c:v>15.6</c:v>
                </c:pt>
                <c:pt idx="1">
                  <c:v>58.612758430229725</c:v>
                </c:pt>
                <c:pt idx="2">
                  <c:v>101.62551686045946</c:v>
                </c:pt>
                <c:pt idx="3">
                  <c:v>100.46129283503059</c:v>
                </c:pt>
                <c:pt idx="4">
                  <c:v>101.62551686045946</c:v>
                </c:pt>
                <c:pt idx="5">
                  <c:v>97.101292835030577</c:v>
                </c:pt>
                <c:pt idx="6">
                  <c:v>101.62551686045946</c:v>
                </c:pt>
              </c:numCache>
            </c:numRef>
          </c:xVal>
          <c:yVal>
            <c:numRef>
              <c:f>Trajecto!$C$132:$C$138</c:f>
              <c:numCache>
                <c:formatCode>0</c:formatCode>
                <c:ptCount val="7"/>
                <c:pt idx="0">
                  <c:v>1311.886954100929</c:v>
                </c:pt>
                <c:pt idx="1">
                  <c:v>655.94347705046448</c:v>
                </c:pt>
                <c:pt idx="2">
                  <c:v>0</c:v>
                </c:pt>
                <c:pt idx="3">
                  <c:v>61.737222929406798</c:v>
                </c:pt>
                <c:pt idx="4">
                  <c:v>0</c:v>
                </c:pt>
                <c:pt idx="5">
                  <c:v>25.018197475336596</c:v>
                </c:pt>
                <c:pt idx="6">
                  <c:v>0</c:v>
                </c:pt>
              </c:numCache>
            </c:numRef>
          </c:yVal>
          <c:smooth val="0"/>
          <c:extLst>
            <c:ext xmlns:c16="http://schemas.microsoft.com/office/drawing/2014/chart" uri="{C3380CC4-5D6E-409C-BE32-E72D297353CC}">
              <c16:uniqueId val="{00000004-4C7F-469F-ADED-1B0B28F452E1}"/>
            </c:ext>
          </c:extLst>
        </c:ser>
        <c:ser>
          <c:idx val="3"/>
          <c:order val="4"/>
          <c:tx>
            <c:strRef>
              <c:f>Trajecto!$B$110</c:f>
              <c:strCache>
                <c:ptCount val="1"/>
                <c:pt idx="0">
                  <c:v>Satellite sous parachute</c:v>
                </c:pt>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Trajecto!$B$149:$B$155</c:f>
              <c:numCache>
                <c:formatCode>0.0</c:formatCode>
                <c:ptCount val="7"/>
                <c:pt idx="0">
                  <c:v>3.2</c:v>
                </c:pt>
                <c:pt idx="1">
                  <c:v>21.383888570778897</c:v>
                </c:pt>
                <c:pt idx="2">
                  <c:v>39.567777141557791</c:v>
                </c:pt>
                <c:pt idx="3">
                  <c:v>37.93209722967336</c:v>
                </c:pt>
                <c:pt idx="4">
                  <c:v>39.567777141557791</c:v>
                </c:pt>
                <c:pt idx="5">
                  <c:v>35.123457053442181</c:v>
                </c:pt>
                <c:pt idx="6">
                  <c:v>39.567777141557791</c:v>
                </c:pt>
              </c:numCache>
            </c:numRef>
          </c:xVal>
          <c:yVal>
            <c:numRef>
              <c:f>Trajecto!$C$149:$C$155</c:f>
              <c:numCache>
                <c:formatCode>0</c:formatCode>
                <c:ptCount val="7"/>
                <c:pt idx="0">
                  <c:v>460.25468107637266</c:v>
                </c:pt>
                <c:pt idx="1">
                  <c:v>230.12734053818633</c:v>
                </c:pt>
                <c:pt idx="2">
                  <c:v>0</c:v>
                </c:pt>
                <c:pt idx="3">
                  <c:v>143.52909487100536</c:v>
                </c:pt>
                <c:pt idx="4">
                  <c:v>0</c:v>
                </c:pt>
                <c:pt idx="5">
                  <c:v>42.728744034785876</c:v>
                </c:pt>
                <c:pt idx="6">
                  <c:v>0</c:v>
                </c:pt>
              </c:numCache>
            </c:numRef>
          </c:yVal>
          <c:smooth val="0"/>
          <c:extLst>
            <c:ext xmlns:c16="http://schemas.microsoft.com/office/drawing/2014/chart" uri="{C3380CC4-5D6E-409C-BE32-E72D297353CC}">
              <c16:uniqueId val="{00000006-4C7F-469F-ADED-1B0B28F452E1}"/>
            </c:ext>
          </c:extLst>
        </c:ser>
        <c:ser>
          <c:idx val="5"/>
          <c:order val="5"/>
          <c:tx>
            <c:strRef>
              <c:f>Trajecto!$B$107</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33.600100000000211</c:v>
                </c:pt>
                <c:pt idx="518">
                  <c:v>33.600200000000214</c:v>
                </c:pt>
                <c:pt idx="519">
                  <c:v>33.600300000000217</c:v>
                </c:pt>
                <c:pt idx="520">
                  <c:v>33.600400000000221</c:v>
                </c:pt>
                <c:pt idx="521">
                  <c:v>33.600500000000224</c:v>
                </c:pt>
                <c:pt idx="522">
                  <c:v>33.600600000000227</c:v>
                </c:pt>
                <c:pt idx="523">
                  <c:v>33.600700000000231</c:v>
                </c:pt>
                <c:pt idx="524">
                  <c:v>33.600800000000234</c:v>
                </c:pt>
                <c:pt idx="525">
                  <c:v>33.600900000000237</c:v>
                </c:pt>
                <c:pt idx="526">
                  <c:v>33.601000000000241</c:v>
                </c:pt>
                <c:pt idx="527">
                  <c:v>33.601100000000244</c:v>
                </c:pt>
                <c:pt idx="528">
                  <c:v>33.601200000000247</c:v>
                </c:pt>
                <c:pt idx="529">
                  <c:v>33.601300000000251</c:v>
                </c:pt>
                <c:pt idx="530">
                  <c:v>33.601400000000254</c:v>
                </c:pt>
                <c:pt idx="531">
                  <c:v>33.601500000000257</c:v>
                </c:pt>
                <c:pt idx="532">
                  <c:v>33.601600000000261</c:v>
                </c:pt>
                <c:pt idx="533">
                  <c:v>33.601700000000264</c:v>
                </c:pt>
                <c:pt idx="534">
                  <c:v>33.601800000000267</c:v>
                </c:pt>
                <c:pt idx="535">
                  <c:v>33.601900000000271</c:v>
                </c:pt>
                <c:pt idx="536">
                  <c:v>33.602000000000274</c:v>
                </c:pt>
                <c:pt idx="537">
                  <c:v>33.602100000000277</c:v>
                </c:pt>
                <c:pt idx="538">
                  <c:v>33.602200000000281</c:v>
                </c:pt>
                <c:pt idx="539">
                  <c:v>33.602300000000284</c:v>
                </c:pt>
                <c:pt idx="540">
                  <c:v>33.602400000000287</c:v>
                </c:pt>
                <c:pt idx="541">
                  <c:v>33.60250000000029</c:v>
                </c:pt>
                <c:pt idx="542">
                  <c:v>33.602600000000294</c:v>
                </c:pt>
                <c:pt idx="543">
                  <c:v>33.602700000000297</c:v>
                </c:pt>
                <c:pt idx="544">
                  <c:v>33.6028000000003</c:v>
                </c:pt>
                <c:pt idx="545">
                  <c:v>33.602900000000304</c:v>
                </c:pt>
                <c:pt idx="546">
                  <c:v>33.603000000000307</c:v>
                </c:pt>
                <c:pt idx="547">
                  <c:v>33.60310000000031</c:v>
                </c:pt>
                <c:pt idx="548">
                  <c:v>33.603200000000314</c:v>
                </c:pt>
                <c:pt idx="549">
                  <c:v>33.603300000000317</c:v>
                </c:pt>
                <c:pt idx="550">
                  <c:v>33.60340000000032</c:v>
                </c:pt>
                <c:pt idx="551">
                  <c:v>33.603500000000324</c:v>
                </c:pt>
                <c:pt idx="552">
                  <c:v>33.603600000000327</c:v>
                </c:pt>
                <c:pt idx="553">
                  <c:v>33.60370000000033</c:v>
                </c:pt>
                <c:pt idx="554">
                  <c:v>33.603800000000334</c:v>
                </c:pt>
                <c:pt idx="555">
                  <c:v>33.603900000000337</c:v>
                </c:pt>
                <c:pt idx="556">
                  <c:v>33.60400000000034</c:v>
                </c:pt>
                <c:pt idx="557">
                  <c:v>33.604100000000344</c:v>
                </c:pt>
                <c:pt idx="558">
                  <c:v>33.604200000000347</c:v>
                </c:pt>
                <c:pt idx="559">
                  <c:v>33.60430000000035</c:v>
                </c:pt>
                <c:pt idx="560">
                  <c:v>33.604400000000354</c:v>
                </c:pt>
                <c:pt idx="561">
                  <c:v>33.604500000000357</c:v>
                </c:pt>
                <c:pt idx="562">
                  <c:v>33.60460000000036</c:v>
                </c:pt>
                <c:pt idx="563">
                  <c:v>33.604700000000364</c:v>
                </c:pt>
                <c:pt idx="564">
                  <c:v>33.604800000000367</c:v>
                </c:pt>
                <c:pt idx="565">
                  <c:v>33.60490000000037</c:v>
                </c:pt>
                <c:pt idx="566">
                  <c:v>33.605000000000373</c:v>
                </c:pt>
                <c:pt idx="567">
                  <c:v>33.605100000000377</c:v>
                </c:pt>
                <c:pt idx="568">
                  <c:v>33.60520000000038</c:v>
                </c:pt>
                <c:pt idx="569">
                  <c:v>33.605300000000383</c:v>
                </c:pt>
                <c:pt idx="570">
                  <c:v>33.605400000000387</c:v>
                </c:pt>
                <c:pt idx="571">
                  <c:v>33.60550000000039</c:v>
                </c:pt>
                <c:pt idx="572">
                  <c:v>33.605600000000393</c:v>
                </c:pt>
                <c:pt idx="573">
                  <c:v>33.605700000000397</c:v>
                </c:pt>
                <c:pt idx="574">
                  <c:v>33.6058000000004</c:v>
                </c:pt>
                <c:pt idx="575">
                  <c:v>33.605900000000403</c:v>
                </c:pt>
                <c:pt idx="576">
                  <c:v>33.606000000000407</c:v>
                </c:pt>
                <c:pt idx="577">
                  <c:v>33.60610000000041</c:v>
                </c:pt>
                <c:pt idx="578">
                  <c:v>33.606200000000413</c:v>
                </c:pt>
                <c:pt idx="579">
                  <c:v>33.606300000000417</c:v>
                </c:pt>
                <c:pt idx="580">
                  <c:v>33.60640000000042</c:v>
                </c:pt>
                <c:pt idx="581">
                  <c:v>33.606500000000423</c:v>
                </c:pt>
                <c:pt idx="582">
                  <c:v>33.606600000000427</c:v>
                </c:pt>
                <c:pt idx="583">
                  <c:v>33.60670000000043</c:v>
                </c:pt>
                <c:pt idx="584">
                  <c:v>33.606800000000433</c:v>
                </c:pt>
                <c:pt idx="585">
                  <c:v>33.606900000000437</c:v>
                </c:pt>
                <c:pt idx="586">
                  <c:v>33.60700000000044</c:v>
                </c:pt>
                <c:pt idx="587">
                  <c:v>33.607100000000443</c:v>
                </c:pt>
                <c:pt idx="588">
                  <c:v>33.607200000000446</c:v>
                </c:pt>
                <c:pt idx="589">
                  <c:v>33.60730000000045</c:v>
                </c:pt>
                <c:pt idx="590">
                  <c:v>33.607400000000453</c:v>
                </c:pt>
                <c:pt idx="591">
                  <c:v>33.607500000000456</c:v>
                </c:pt>
                <c:pt idx="592">
                  <c:v>33.60760000000046</c:v>
                </c:pt>
                <c:pt idx="593">
                  <c:v>33.607700000000463</c:v>
                </c:pt>
                <c:pt idx="594">
                  <c:v>33.607800000000466</c:v>
                </c:pt>
                <c:pt idx="595">
                  <c:v>33.60790000000047</c:v>
                </c:pt>
                <c:pt idx="596">
                  <c:v>33.608000000000473</c:v>
                </c:pt>
                <c:pt idx="597">
                  <c:v>33.608100000000476</c:v>
                </c:pt>
                <c:pt idx="598">
                  <c:v>33.60820000000048</c:v>
                </c:pt>
                <c:pt idx="599">
                  <c:v>33.608300000000483</c:v>
                </c:pt>
                <c:pt idx="600">
                  <c:v>33.608400000000486</c:v>
                </c:pt>
                <c:pt idx="601">
                  <c:v>33.60850000000049</c:v>
                </c:pt>
                <c:pt idx="602">
                  <c:v>33.608600000000493</c:v>
                </c:pt>
                <c:pt idx="603">
                  <c:v>33.608700000000496</c:v>
                </c:pt>
                <c:pt idx="604">
                  <c:v>33.6088000000005</c:v>
                </c:pt>
                <c:pt idx="605">
                  <c:v>33.608900000000503</c:v>
                </c:pt>
                <c:pt idx="606">
                  <c:v>33.609000000000506</c:v>
                </c:pt>
                <c:pt idx="607">
                  <c:v>33.60910000000051</c:v>
                </c:pt>
                <c:pt idx="608">
                  <c:v>33.609200000000513</c:v>
                </c:pt>
                <c:pt idx="609">
                  <c:v>33.609300000000516</c:v>
                </c:pt>
                <c:pt idx="610">
                  <c:v>33.60940000000052</c:v>
                </c:pt>
                <c:pt idx="611">
                  <c:v>33.609500000000523</c:v>
                </c:pt>
                <c:pt idx="612">
                  <c:v>33.609600000000526</c:v>
                </c:pt>
                <c:pt idx="613">
                  <c:v>33.609700000000529</c:v>
                </c:pt>
                <c:pt idx="614">
                  <c:v>33.609800000000533</c:v>
                </c:pt>
                <c:pt idx="615">
                  <c:v>33.609900000000536</c:v>
                </c:pt>
                <c:pt idx="616">
                  <c:v>33.610000000000539</c:v>
                </c:pt>
                <c:pt idx="617">
                  <c:v>33.610100000000543</c:v>
                </c:pt>
                <c:pt idx="618">
                  <c:v>33.610200000000546</c:v>
                </c:pt>
                <c:pt idx="619">
                  <c:v>33.610300000000549</c:v>
                </c:pt>
                <c:pt idx="620">
                  <c:v>33.610400000000553</c:v>
                </c:pt>
                <c:pt idx="621">
                  <c:v>33.610500000000556</c:v>
                </c:pt>
                <c:pt idx="622">
                  <c:v>33.610600000000559</c:v>
                </c:pt>
                <c:pt idx="623">
                  <c:v>33.610700000000563</c:v>
                </c:pt>
                <c:pt idx="624">
                  <c:v>33.610800000000566</c:v>
                </c:pt>
                <c:pt idx="625">
                  <c:v>33.610900000000569</c:v>
                </c:pt>
                <c:pt idx="626">
                  <c:v>33.611000000000573</c:v>
                </c:pt>
                <c:pt idx="627">
                  <c:v>33.611100000000576</c:v>
                </c:pt>
                <c:pt idx="628">
                  <c:v>33.611200000000579</c:v>
                </c:pt>
                <c:pt idx="629">
                  <c:v>33.611300000000583</c:v>
                </c:pt>
                <c:pt idx="630">
                  <c:v>33.611400000000586</c:v>
                </c:pt>
                <c:pt idx="631">
                  <c:v>33.611500000000589</c:v>
                </c:pt>
                <c:pt idx="632">
                  <c:v>33.611600000000593</c:v>
                </c:pt>
                <c:pt idx="633">
                  <c:v>33.611700000000596</c:v>
                </c:pt>
                <c:pt idx="634">
                  <c:v>33.611800000000599</c:v>
                </c:pt>
                <c:pt idx="635">
                  <c:v>33.611900000000603</c:v>
                </c:pt>
                <c:pt idx="636">
                  <c:v>33.612000000000606</c:v>
                </c:pt>
                <c:pt idx="637">
                  <c:v>33.612100000000609</c:v>
                </c:pt>
                <c:pt idx="638">
                  <c:v>33.612200000000612</c:v>
                </c:pt>
                <c:pt idx="639">
                  <c:v>33.612300000000616</c:v>
                </c:pt>
                <c:pt idx="640">
                  <c:v>33.612400000000619</c:v>
                </c:pt>
                <c:pt idx="641">
                  <c:v>33.612500000000622</c:v>
                </c:pt>
                <c:pt idx="642">
                  <c:v>33.612600000000626</c:v>
                </c:pt>
                <c:pt idx="643">
                  <c:v>33.612700000000629</c:v>
                </c:pt>
                <c:pt idx="644">
                  <c:v>33.612800000000632</c:v>
                </c:pt>
                <c:pt idx="645">
                  <c:v>33.612900000000636</c:v>
                </c:pt>
                <c:pt idx="646">
                  <c:v>33.613000000000639</c:v>
                </c:pt>
                <c:pt idx="647">
                  <c:v>33.613100000000642</c:v>
                </c:pt>
                <c:pt idx="648">
                  <c:v>33.613200000000646</c:v>
                </c:pt>
                <c:pt idx="649">
                  <c:v>33.613300000000649</c:v>
                </c:pt>
                <c:pt idx="650">
                  <c:v>33.613400000000652</c:v>
                </c:pt>
                <c:pt idx="651">
                  <c:v>33.613500000000656</c:v>
                </c:pt>
                <c:pt idx="652">
                  <c:v>33.613600000000659</c:v>
                </c:pt>
                <c:pt idx="653">
                  <c:v>33.613700000000662</c:v>
                </c:pt>
                <c:pt idx="654">
                  <c:v>33.613800000000666</c:v>
                </c:pt>
                <c:pt idx="655">
                  <c:v>33.613900000000669</c:v>
                </c:pt>
                <c:pt idx="656">
                  <c:v>33.614000000000672</c:v>
                </c:pt>
                <c:pt idx="657">
                  <c:v>33.614100000000676</c:v>
                </c:pt>
                <c:pt idx="658">
                  <c:v>33.614200000000679</c:v>
                </c:pt>
                <c:pt idx="659">
                  <c:v>33.614300000000682</c:v>
                </c:pt>
                <c:pt idx="660">
                  <c:v>33.614400000000686</c:v>
                </c:pt>
                <c:pt idx="661">
                  <c:v>33.614500000000689</c:v>
                </c:pt>
                <c:pt idx="662">
                  <c:v>33.614600000000692</c:v>
                </c:pt>
                <c:pt idx="663">
                  <c:v>33.614700000000695</c:v>
                </c:pt>
                <c:pt idx="664">
                  <c:v>33.614800000000699</c:v>
                </c:pt>
                <c:pt idx="665">
                  <c:v>33.614900000000702</c:v>
                </c:pt>
                <c:pt idx="666">
                  <c:v>33.615000000000705</c:v>
                </c:pt>
                <c:pt idx="667">
                  <c:v>33.615100000000709</c:v>
                </c:pt>
                <c:pt idx="668">
                  <c:v>33.615200000000712</c:v>
                </c:pt>
                <c:pt idx="669">
                  <c:v>33.615300000000715</c:v>
                </c:pt>
                <c:pt idx="670">
                  <c:v>33.615400000000719</c:v>
                </c:pt>
                <c:pt idx="671">
                  <c:v>33.615500000000722</c:v>
                </c:pt>
                <c:pt idx="672">
                  <c:v>33.615600000000725</c:v>
                </c:pt>
                <c:pt idx="673">
                  <c:v>33.615700000000729</c:v>
                </c:pt>
                <c:pt idx="674">
                  <c:v>33.615800000000732</c:v>
                </c:pt>
                <c:pt idx="675">
                  <c:v>33.615900000000735</c:v>
                </c:pt>
                <c:pt idx="676">
                  <c:v>33.616000000000739</c:v>
                </c:pt>
                <c:pt idx="677">
                  <c:v>33.616100000000742</c:v>
                </c:pt>
                <c:pt idx="678">
                  <c:v>33.616200000000745</c:v>
                </c:pt>
                <c:pt idx="679">
                  <c:v>33.616300000000749</c:v>
                </c:pt>
                <c:pt idx="680">
                  <c:v>33.616400000000752</c:v>
                </c:pt>
                <c:pt idx="681">
                  <c:v>33.616500000000755</c:v>
                </c:pt>
                <c:pt idx="682">
                  <c:v>33.616600000000759</c:v>
                </c:pt>
                <c:pt idx="683">
                  <c:v>33.616700000000762</c:v>
                </c:pt>
                <c:pt idx="684">
                  <c:v>33.616800000000765</c:v>
                </c:pt>
                <c:pt idx="685">
                  <c:v>33.616900000000769</c:v>
                </c:pt>
                <c:pt idx="686">
                  <c:v>33.617000000000772</c:v>
                </c:pt>
                <c:pt idx="687">
                  <c:v>33.617100000000775</c:v>
                </c:pt>
                <c:pt idx="688">
                  <c:v>33.617200000000778</c:v>
                </c:pt>
                <c:pt idx="689">
                  <c:v>33.617300000000782</c:v>
                </c:pt>
                <c:pt idx="690">
                  <c:v>33.617400000000785</c:v>
                </c:pt>
                <c:pt idx="691">
                  <c:v>33.617500000000788</c:v>
                </c:pt>
                <c:pt idx="692">
                  <c:v>33.617600000000792</c:v>
                </c:pt>
                <c:pt idx="693">
                  <c:v>33.617700000000795</c:v>
                </c:pt>
                <c:pt idx="694">
                  <c:v>33.617800000000798</c:v>
                </c:pt>
                <c:pt idx="695">
                  <c:v>33.617900000000802</c:v>
                </c:pt>
                <c:pt idx="696">
                  <c:v>33.618000000000805</c:v>
                </c:pt>
                <c:pt idx="697">
                  <c:v>33.618100000000808</c:v>
                </c:pt>
                <c:pt idx="698">
                  <c:v>33.618200000000812</c:v>
                </c:pt>
                <c:pt idx="699">
                  <c:v>33.618300000000815</c:v>
                </c:pt>
                <c:pt idx="700">
                  <c:v>33.618400000000818</c:v>
                </c:pt>
                <c:pt idx="701">
                  <c:v>33.618500000000822</c:v>
                </c:pt>
                <c:pt idx="702">
                  <c:v>33.618600000000825</c:v>
                </c:pt>
                <c:pt idx="703">
                  <c:v>33.618700000000828</c:v>
                </c:pt>
                <c:pt idx="704">
                  <c:v>33.618800000000832</c:v>
                </c:pt>
                <c:pt idx="705">
                  <c:v>33.618900000000835</c:v>
                </c:pt>
                <c:pt idx="706">
                  <c:v>33.619000000000838</c:v>
                </c:pt>
                <c:pt idx="707">
                  <c:v>33.619100000000842</c:v>
                </c:pt>
                <c:pt idx="708">
                  <c:v>33.619200000000845</c:v>
                </c:pt>
                <c:pt idx="709">
                  <c:v>33.619300000000848</c:v>
                </c:pt>
                <c:pt idx="710">
                  <c:v>33.619400000000851</c:v>
                </c:pt>
                <c:pt idx="711">
                  <c:v>33.619500000000855</c:v>
                </c:pt>
                <c:pt idx="712">
                  <c:v>33.619600000000858</c:v>
                </c:pt>
                <c:pt idx="713">
                  <c:v>33.619700000000861</c:v>
                </c:pt>
                <c:pt idx="714">
                  <c:v>33.619800000000865</c:v>
                </c:pt>
                <c:pt idx="715">
                  <c:v>33.619900000000868</c:v>
                </c:pt>
                <c:pt idx="716">
                  <c:v>33.620000000000871</c:v>
                </c:pt>
                <c:pt idx="717">
                  <c:v>33.620100000000875</c:v>
                </c:pt>
                <c:pt idx="718">
                  <c:v>33.620200000000878</c:v>
                </c:pt>
                <c:pt idx="719">
                  <c:v>33.620300000000881</c:v>
                </c:pt>
                <c:pt idx="720">
                  <c:v>33.620400000000885</c:v>
                </c:pt>
                <c:pt idx="721">
                  <c:v>33.620500000000888</c:v>
                </c:pt>
                <c:pt idx="722">
                  <c:v>33.620600000000891</c:v>
                </c:pt>
                <c:pt idx="723">
                  <c:v>33.620700000000895</c:v>
                </c:pt>
                <c:pt idx="724">
                  <c:v>33.620800000000898</c:v>
                </c:pt>
                <c:pt idx="725">
                  <c:v>33.620900000000901</c:v>
                </c:pt>
                <c:pt idx="726">
                  <c:v>33.621000000000905</c:v>
                </c:pt>
                <c:pt idx="727">
                  <c:v>33.621100000000908</c:v>
                </c:pt>
                <c:pt idx="728">
                  <c:v>33.621200000000911</c:v>
                </c:pt>
                <c:pt idx="729">
                  <c:v>33.621300000000915</c:v>
                </c:pt>
                <c:pt idx="730">
                  <c:v>33.621400000000918</c:v>
                </c:pt>
                <c:pt idx="731">
                  <c:v>33.621500000000921</c:v>
                </c:pt>
                <c:pt idx="732">
                  <c:v>33.621600000000925</c:v>
                </c:pt>
                <c:pt idx="733">
                  <c:v>33.621700000000928</c:v>
                </c:pt>
                <c:pt idx="734">
                  <c:v>33.621800000000931</c:v>
                </c:pt>
                <c:pt idx="735">
                  <c:v>33.621900000000934</c:v>
                </c:pt>
                <c:pt idx="736">
                  <c:v>33.622000000000938</c:v>
                </c:pt>
                <c:pt idx="737">
                  <c:v>33.622100000000941</c:v>
                </c:pt>
                <c:pt idx="738">
                  <c:v>33.622200000000944</c:v>
                </c:pt>
                <c:pt idx="739">
                  <c:v>33.622300000000948</c:v>
                </c:pt>
                <c:pt idx="740">
                  <c:v>33.622400000000951</c:v>
                </c:pt>
                <c:pt idx="741">
                  <c:v>33.622500000000954</c:v>
                </c:pt>
                <c:pt idx="742">
                  <c:v>33.622600000000958</c:v>
                </c:pt>
                <c:pt idx="743">
                  <c:v>33.622700000000961</c:v>
                </c:pt>
                <c:pt idx="744">
                  <c:v>33.622800000000964</c:v>
                </c:pt>
                <c:pt idx="745">
                  <c:v>33.622900000000968</c:v>
                </c:pt>
                <c:pt idx="746">
                  <c:v>33.623000000000971</c:v>
                </c:pt>
                <c:pt idx="747">
                  <c:v>33.623100000000974</c:v>
                </c:pt>
                <c:pt idx="748">
                  <c:v>33.623200000000978</c:v>
                </c:pt>
                <c:pt idx="749">
                  <c:v>33.623300000000981</c:v>
                </c:pt>
                <c:pt idx="750">
                  <c:v>33.623400000000984</c:v>
                </c:pt>
                <c:pt idx="751">
                  <c:v>33.623500000000988</c:v>
                </c:pt>
                <c:pt idx="752">
                  <c:v>33.623600000000991</c:v>
                </c:pt>
                <c:pt idx="753">
                  <c:v>33.623700000000994</c:v>
                </c:pt>
                <c:pt idx="754">
                  <c:v>33.623800000000998</c:v>
                </c:pt>
                <c:pt idx="755">
                  <c:v>33.623900000001001</c:v>
                </c:pt>
                <c:pt idx="756">
                  <c:v>33.624000000001004</c:v>
                </c:pt>
                <c:pt idx="757">
                  <c:v>33.624100000001008</c:v>
                </c:pt>
                <c:pt idx="758">
                  <c:v>33.624200000001011</c:v>
                </c:pt>
                <c:pt idx="759">
                  <c:v>33.624300000001014</c:v>
                </c:pt>
                <c:pt idx="760">
                  <c:v>33.624400000001017</c:v>
                </c:pt>
                <c:pt idx="761">
                  <c:v>33.624500000001021</c:v>
                </c:pt>
                <c:pt idx="762">
                  <c:v>33.624600000001024</c:v>
                </c:pt>
                <c:pt idx="763">
                  <c:v>33.624700000001027</c:v>
                </c:pt>
                <c:pt idx="764">
                  <c:v>33.624800000001031</c:v>
                </c:pt>
                <c:pt idx="765">
                  <c:v>33.624900000001034</c:v>
                </c:pt>
                <c:pt idx="766">
                  <c:v>33.625000000001037</c:v>
                </c:pt>
                <c:pt idx="767">
                  <c:v>33.625100000001041</c:v>
                </c:pt>
                <c:pt idx="768">
                  <c:v>33.625200000001044</c:v>
                </c:pt>
                <c:pt idx="769">
                  <c:v>33.625300000001047</c:v>
                </c:pt>
                <c:pt idx="770">
                  <c:v>33.625400000001051</c:v>
                </c:pt>
                <c:pt idx="771">
                  <c:v>33.625500000001054</c:v>
                </c:pt>
                <c:pt idx="772">
                  <c:v>33.625600000001057</c:v>
                </c:pt>
                <c:pt idx="773">
                  <c:v>33.625700000001061</c:v>
                </c:pt>
                <c:pt idx="774">
                  <c:v>33.625800000001064</c:v>
                </c:pt>
                <c:pt idx="775">
                  <c:v>33.625900000001067</c:v>
                </c:pt>
                <c:pt idx="776">
                  <c:v>33.626000000001071</c:v>
                </c:pt>
                <c:pt idx="777">
                  <c:v>33.626100000001074</c:v>
                </c:pt>
                <c:pt idx="778">
                  <c:v>33.626200000001077</c:v>
                </c:pt>
                <c:pt idx="779">
                  <c:v>33.626300000001081</c:v>
                </c:pt>
                <c:pt idx="780">
                  <c:v>33.626400000001084</c:v>
                </c:pt>
                <c:pt idx="781">
                  <c:v>33.626500000001087</c:v>
                </c:pt>
                <c:pt idx="782">
                  <c:v>33.626600000001091</c:v>
                </c:pt>
                <c:pt idx="783">
                  <c:v>33.626700000001094</c:v>
                </c:pt>
                <c:pt idx="784">
                  <c:v>33.626800000001097</c:v>
                </c:pt>
                <c:pt idx="785">
                  <c:v>33.6269000000011</c:v>
                </c:pt>
                <c:pt idx="786">
                  <c:v>33.627000000001104</c:v>
                </c:pt>
                <c:pt idx="787">
                  <c:v>33.627100000001107</c:v>
                </c:pt>
                <c:pt idx="788">
                  <c:v>33.62720000000111</c:v>
                </c:pt>
                <c:pt idx="789">
                  <c:v>33.627300000001114</c:v>
                </c:pt>
                <c:pt idx="790">
                  <c:v>33.627400000001117</c:v>
                </c:pt>
                <c:pt idx="791">
                  <c:v>33.62750000000112</c:v>
                </c:pt>
                <c:pt idx="792">
                  <c:v>33.627600000001124</c:v>
                </c:pt>
                <c:pt idx="793">
                  <c:v>33.627700000001127</c:v>
                </c:pt>
                <c:pt idx="794">
                  <c:v>33.62780000000113</c:v>
                </c:pt>
                <c:pt idx="795">
                  <c:v>33.627900000001134</c:v>
                </c:pt>
                <c:pt idx="796">
                  <c:v>33.628000000001137</c:v>
                </c:pt>
                <c:pt idx="797">
                  <c:v>33.62810000000114</c:v>
                </c:pt>
                <c:pt idx="798">
                  <c:v>33.628200000001144</c:v>
                </c:pt>
                <c:pt idx="799">
                  <c:v>33.628300000001147</c:v>
                </c:pt>
                <c:pt idx="800">
                  <c:v>33.62840000000115</c:v>
                </c:pt>
                <c:pt idx="801">
                  <c:v>33.628500000001154</c:v>
                </c:pt>
                <c:pt idx="802">
                  <c:v>33.628600000001157</c:v>
                </c:pt>
                <c:pt idx="803">
                  <c:v>33.62870000000116</c:v>
                </c:pt>
                <c:pt idx="804">
                  <c:v>33.628800000001164</c:v>
                </c:pt>
                <c:pt idx="805">
                  <c:v>33.628900000001167</c:v>
                </c:pt>
                <c:pt idx="806">
                  <c:v>33.62900000000117</c:v>
                </c:pt>
                <c:pt idx="807">
                  <c:v>33.629100000001173</c:v>
                </c:pt>
                <c:pt idx="808">
                  <c:v>33.629200000001177</c:v>
                </c:pt>
                <c:pt idx="809">
                  <c:v>33.62930000000118</c:v>
                </c:pt>
                <c:pt idx="810">
                  <c:v>33.629400000001183</c:v>
                </c:pt>
                <c:pt idx="811">
                  <c:v>33.629500000001187</c:v>
                </c:pt>
                <c:pt idx="812">
                  <c:v>33.62960000000119</c:v>
                </c:pt>
                <c:pt idx="813">
                  <c:v>33.629700000001193</c:v>
                </c:pt>
                <c:pt idx="814">
                  <c:v>33.629800000001197</c:v>
                </c:pt>
                <c:pt idx="815">
                  <c:v>33.6299000000012</c:v>
                </c:pt>
                <c:pt idx="816">
                  <c:v>33.630000000001203</c:v>
                </c:pt>
                <c:pt idx="817">
                  <c:v>33.630100000001207</c:v>
                </c:pt>
                <c:pt idx="818">
                  <c:v>33.63020000000121</c:v>
                </c:pt>
                <c:pt idx="819">
                  <c:v>33.630300000001213</c:v>
                </c:pt>
                <c:pt idx="820">
                  <c:v>33.630400000001217</c:v>
                </c:pt>
                <c:pt idx="821">
                  <c:v>33.63050000000122</c:v>
                </c:pt>
                <c:pt idx="822">
                  <c:v>33.630600000001223</c:v>
                </c:pt>
                <c:pt idx="823">
                  <c:v>33.630700000001227</c:v>
                </c:pt>
                <c:pt idx="824">
                  <c:v>33.63080000000123</c:v>
                </c:pt>
                <c:pt idx="825">
                  <c:v>33.630900000001233</c:v>
                </c:pt>
                <c:pt idx="826">
                  <c:v>33.631000000001237</c:v>
                </c:pt>
                <c:pt idx="827">
                  <c:v>33.63110000000124</c:v>
                </c:pt>
                <c:pt idx="828">
                  <c:v>33.631200000001243</c:v>
                </c:pt>
                <c:pt idx="829">
                  <c:v>33.631300000001247</c:v>
                </c:pt>
                <c:pt idx="830">
                  <c:v>33.63140000000125</c:v>
                </c:pt>
                <c:pt idx="831">
                  <c:v>33.631500000001253</c:v>
                </c:pt>
                <c:pt idx="832">
                  <c:v>33.631600000001256</c:v>
                </c:pt>
                <c:pt idx="833">
                  <c:v>33.63170000000126</c:v>
                </c:pt>
                <c:pt idx="834">
                  <c:v>33.631800000001263</c:v>
                </c:pt>
                <c:pt idx="835">
                  <c:v>33.631900000001266</c:v>
                </c:pt>
                <c:pt idx="836">
                  <c:v>33.63200000000127</c:v>
                </c:pt>
                <c:pt idx="837">
                  <c:v>33.632100000001273</c:v>
                </c:pt>
                <c:pt idx="838">
                  <c:v>33.632200000001276</c:v>
                </c:pt>
                <c:pt idx="839">
                  <c:v>33.63230000000128</c:v>
                </c:pt>
                <c:pt idx="840">
                  <c:v>33.632400000001283</c:v>
                </c:pt>
                <c:pt idx="841">
                  <c:v>33.632500000001286</c:v>
                </c:pt>
                <c:pt idx="842">
                  <c:v>33.63260000000129</c:v>
                </c:pt>
                <c:pt idx="843">
                  <c:v>33.632700000001293</c:v>
                </c:pt>
                <c:pt idx="844">
                  <c:v>33.632800000001296</c:v>
                </c:pt>
                <c:pt idx="845">
                  <c:v>33.6329000000013</c:v>
                </c:pt>
                <c:pt idx="846">
                  <c:v>33.633000000001303</c:v>
                </c:pt>
                <c:pt idx="847">
                  <c:v>33.633100000001306</c:v>
                </c:pt>
                <c:pt idx="848">
                  <c:v>33.63320000000131</c:v>
                </c:pt>
                <c:pt idx="849">
                  <c:v>33.633300000001313</c:v>
                </c:pt>
                <c:pt idx="850">
                  <c:v>33.633400000001316</c:v>
                </c:pt>
                <c:pt idx="851">
                  <c:v>33.63350000000132</c:v>
                </c:pt>
                <c:pt idx="852">
                  <c:v>33.633600000001323</c:v>
                </c:pt>
                <c:pt idx="853">
                  <c:v>33.633700000001326</c:v>
                </c:pt>
                <c:pt idx="854">
                  <c:v>33.63380000000133</c:v>
                </c:pt>
                <c:pt idx="855">
                  <c:v>33.633900000001333</c:v>
                </c:pt>
                <c:pt idx="856">
                  <c:v>33.634000000001336</c:v>
                </c:pt>
                <c:pt idx="857">
                  <c:v>33.634100000001339</c:v>
                </c:pt>
                <c:pt idx="858">
                  <c:v>33.634200000001343</c:v>
                </c:pt>
                <c:pt idx="859">
                  <c:v>33.634300000001346</c:v>
                </c:pt>
                <c:pt idx="860">
                  <c:v>33.634400000001349</c:v>
                </c:pt>
                <c:pt idx="861">
                  <c:v>33.634500000001353</c:v>
                </c:pt>
                <c:pt idx="862">
                  <c:v>33.634600000001356</c:v>
                </c:pt>
                <c:pt idx="863">
                  <c:v>33.634700000001359</c:v>
                </c:pt>
                <c:pt idx="864">
                  <c:v>33.634800000001363</c:v>
                </c:pt>
                <c:pt idx="865">
                  <c:v>33.634900000001366</c:v>
                </c:pt>
                <c:pt idx="866">
                  <c:v>33.635000000001369</c:v>
                </c:pt>
                <c:pt idx="867">
                  <c:v>33.635100000001373</c:v>
                </c:pt>
                <c:pt idx="868">
                  <c:v>33.635200000001376</c:v>
                </c:pt>
                <c:pt idx="869">
                  <c:v>33.635300000001379</c:v>
                </c:pt>
                <c:pt idx="870">
                  <c:v>33.635400000001383</c:v>
                </c:pt>
                <c:pt idx="871">
                  <c:v>33.635500000001386</c:v>
                </c:pt>
                <c:pt idx="872">
                  <c:v>33.635600000001389</c:v>
                </c:pt>
                <c:pt idx="873">
                  <c:v>33.635700000001393</c:v>
                </c:pt>
                <c:pt idx="874">
                  <c:v>33.635800000001396</c:v>
                </c:pt>
                <c:pt idx="875">
                  <c:v>33.635900000001399</c:v>
                </c:pt>
                <c:pt idx="876">
                  <c:v>33.636000000001403</c:v>
                </c:pt>
                <c:pt idx="877">
                  <c:v>33.636100000001406</c:v>
                </c:pt>
                <c:pt idx="878">
                  <c:v>33.636200000001409</c:v>
                </c:pt>
                <c:pt idx="879">
                  <c:v>33.636300000001413</c:v>
                </c:pt>
                <c:pt idx="880">
                  <c:v>33.636400000001416</c:v>
                </c:pt>
                <c:pt idx="881">
                  <c:v>33.636500000001419</c:v>
                </c:pt>
                <c:pt idx="882">
                  <c:v>33.636600000001422</c:v>
                </c:pt>
                <c:pt idx="883">
                  <c:v>33.636700000001426</c:v>
                </c:pt>
                <c:pt idx="884">
                  <c:v>33.636800000001429</c:v>
                </c:pt>
                <c:pt idx="885">
                  <c:v>33.636900000001432</c:v>
                </c:pt>
                <c:pt idx="886">
                  <c:v>33.637000000001436</c:v>
                </c:pt>
                <c:pt idx="887">
                  <c:v>33.637100000001439</c:v>
                </c:pt>
                <c:pt idx="888">
                  <c:v>33.637200000001442</c:v>
                </c:pt>
                <c:pt idx="889">
                  <c:v>33.637300000001446</c:v>
                </c:pt>
                <c:pt idx="890">
                  <c:v>33.637400000001449</c:v>
                </c:pt>
                <c:pt idx="891">
                  <c:v>33.637500000001452</c:v>
                </c:pt>
                <c:pt idx="892">
                  <c:v>33.637600000001456</c:v>
                </c:pt>
                <c:pt idx="893">
                  <c:v>33.637700000001459</c:v>
                </c:pt>
                <c:pt idx="894">
                  <c:v>33.637800000001462</c:v>
                </c:pt>
                <c:pt idx="895">
                  <c:v>33.637900000001466</c:v>
                </c:pt>
                <c:pt idx="896">
                  <c:v>33.638000000001469</c:v>
                </c:pt>
                <c:pt idx="897">
                  <c:v>33.638100000001472</c:v>
                </c:pt>
                <c:pt idx="898">
                  <c:v>33.638200000001476</c:v>
                </c:pt>
                <c:pt idx="899">
                  <c:v>33.638300000001479</c:v>
                </c:pt>
                <c:pt idx="900">
                  <c:v>33.638400000001482</c:v>
                </c:pt>
                <c:pt idx="901">
                  <c:v>33.638500000001486</c:v>
                </c:pt>
                <c:pt idx="902">
                  <c:v>33.638600000001489</c:v>
                </c:pt>
                <c:pt idx="903">
                  <c:v>33.638700000001492</c:v>
                </c:pt>
                <c:pt idx="904">
                  <c:v>33.638800000001496</c:v>
                </c:pt>
                <c:pt idx="905">
                  <c:v>33.638900000001499</c:v>
                </c:pt>
                <c:pt idx="906">
                  <c:v>33.639000000001502</c:v>
                </c:pt>
                <c:pt idx="907">
                  <c:v>33.639100000001505</c:v>
                </c:pt>
                <c:pt idx="908">
                  <c:v>33.639200000001509</c:v>
                </c:pt>
                <c:pt idx="909">
                  <c:v>33.639300000001512</c:v>
                </c:pt>
                <c:pt idx="910">
                  <c:v>33.639400000001515</c:v>
                </c:pt>
                <c:pt idx="911">
                  <c:v>33.639500000001519</c:v>
                </c:pt>
                <c:pt idx="912">
                  <c:v>33.639600000001522</c:v>
                </c:pt>
                <c:pt idx="913">
                  <c:v>33.639700000001525</c:v>
                </c:pt>
                <c:pt idx="914">
                  <c:v>33.639800000001529</c:v>
                </c:pt>
                <c:pt idx="915">
                  <c:v>33.639900000001532</c:v>
                </c:pt>
                <c:pt idx="916">
                  <c:v>33.640000000001535</c:v>
                </c:pt>
                <c:pt idx="917">
                  <c:v>33.640100000001539</c:v>
                </c:pt>
                <c:pt idx="918">
                  <c:v>33.640200000001542</c:v>
                </c:pt>
                <c:pt idx="919">
                  <c:v>33.640300000001545</c:v>
                </c:pt>
                <c:pt idx="920">
                  <c:v>33.640400000001549</c:v>
                </c:pt>
                <c:pt idx="921">
                  <c:v>33.640500000001552</c:v>
                </c:pt>
                <c:pt idx="922">
                  <c:v>33.640600000001555</c:v>
                </c:pt>
                <c:pt idx="923">
                  <c:v>33.640700000001559</c:v>
                </c:pt>
                <c:pt idx="924">
                  <c:v>33.640800000001562</c:v>
                </c:pt>
                <c:pt idx="925">
                  <c:v>33.640900000001565</c:v>
                </c:pt>
                <c:pt idx="926">
                  <c:v>33.641000000001569</c:v>
                </c:pt>
                <c:pt idx="927">
                  <c:v>33.641100000001572</c:v>
                </c:pt>
                <c:pt idx="928">
                  <c:v>33.641200000001575</c:v>
                </c:pt>
                <c:pt idx="929">
                  <c:v>33.641300000001578</c:v>
                </c:pt>
                <c:pt idx="930">
                  <c:v>33.641400000001582</c:v>
                </c:pt>
                <c:pt idx="931">
                  <c:v>33.641500000001585</c:v>
                </c:pt>
                <c:pt idx="932">
                  <c:v>33.641600000001588</c:v>
                </c:pt>
                <c:pt idx="933">
                  <c:v>33.641700000001592</c:v>
                </c:pt>
                <c:pt idx="934">
                  <c:v>33.641800000001595</c:v>
                </c:pt>
                <c:pt idx="935">
                  <c:v>33.641900000001598</c:v>
                </c:pt>
                <c:pt idx="936">
                  <c:v>33.642000000001602</c:v>
                </c:pt>
                <c:pt idx="937">
                  <c:v>33.642100000001605</c:v>
                </c:pt>
                <c:pt idx="938">
                  <c:v>33.642200000001608</c:v>
                </c:pt>
                <c:pt idx="939">
                  <c:v>33.642300000001612</c:v>
                </c:pt>
                <c:pt idx="940">
                  <c:v>33.642400000001615</c:v>
                </c:pt>
                <c:pt idx="941">
                  <c:v>33.642500000001618</c:v>
                </c:pt>
                <c:pt idx="942">
                  <c:v>33.642600000001622</c:v>
                </c:pt>
                <c:pt idx="943">
                  <c:v>33.642700000001625</c:v>
                </c:pt>
                <c:pt idx="944">
                  <c:v>33.642800000001628</c:v>
                </c:pt>
                <c:pt idx="945">
                  <c:v>33.642900000001632</c:v>
                </c:pt>
                <c:pt idx="946">
                  <c:v>33.643000000001635</c:v>
                </c:pt>
                <c:pt idx="947">
                  <c:v>33.643100000001638</c:v>
                </c:pt>
                <c:pt idx="948">
                  <c:v>33.643200000001642</c:v>
                </c:pt>
                <c:pt idx="949">
                  <c:v>33.643300000001645</c:v>
                </c:pt>
                <c:pt idx="950">
                  <c:v>33.643400000001648</c:v>
                </c:pt>
                <c:pt idx="951">
                  <c:v>33.643500000001652</c:v>
                </c:pt>
                <c:pt idx="952">
                  <c:v>33.643600000001655</c:v>
                </c:pt>
                <c:pt idx="953">
                  <c:v>33.643700000001658</c:v>
                </c:pt>
                <c:pt idx="954">
                  <c:v>33.643800000001661</c:v>
                </c:pt>
                <c:pt idx="955">
                  <c:v>33.643900000001665</c:v>
                </c:pt>
                <c:pt idx="956">
                  <c:v>33.644000000001668</c:v>
                </c:pt>
                <c:pt idx="957">
                  <c:v>33.644100000001671</c:v>
                </c:pt>
                <c:pt idx="958">
                  <c:v>33.644200000001675</c:v>
                </c:pt>
                <c:pt idx="959">
                  <c:v>33.644300000001678</c:v>
                </c:pt>
                <c:pt idx="960">
                  <c:v>33.644400000001681</c:v>
                </c:pt>
                <c:pt idx="961">
                  <c:v>33.644500000001685</c:v>
                </c:pt>
                <c:pt idx="962">
                  <c:v>33.644600000001688</c:v>
                </c:pt>
                <c:pt idx="963">
                  <c:v>33.644700000001691</c:v>
                </c:pt>
                <c:pt idx="964">
                  <c:v>33.644800000001695</c:v>
                </c:pt>
                <c:pt idx="965">
                  <c:v>33.644900000001698</c:v>
                </c:pt>
                <c:pt idx="966">
                  <c:v>33.645000000001701</c:v>
                </c:pt>
                <c:pt idx="967">
                  <c:v>33.645100000001705</c:v>
                </c:pt>
                <c:pt idx="968">
                  <c:v>33.645200000001708</c:v>
                </c:pt>
                <c:pt idx="969">
                  <c:v>33.645300000001711</c:v>
                </c:pt>
                <c:pt idx="970">
                  <c:v>33.645400000001715</c:v>
                </c:pt>
                <c:pt idx="971">
                  <c:v>33.645500000001718</c:v>
                </c:pt>
                <c:pt idx="972">
                  <c:v>33.645600000001721</c:v>
                </c:pt>
                <c:pt idx="973">
                  <c:v>33.645700000001725</c:v>
                </c:pt>
                <c:pt idx="974">
                  <c:v>33.645800000001728</c:v>
                </c:pt>
                <c:pt idx="975">
                  <c:v>33.645900000001731</c:v>
                </c:pt>
                <c:pt idx="976">
                  <c:v>33.646000000001735</c:v>
                </c:pt>
                <c:pt idx="977">
                  <c:v>33.646100000001738</c:v>
                </c:pt>
                <c:pt idx="978">
                  <c:v>33.646200000001741</c:v>
                </c:pt>
                <c:pt idx="979">
                  <c:v>33.646300000001744</c:v>
                </c:pt>
                <c:pt idx="980">
                  <c:v>33.646400000001748</c:v>
                </c:pt>
                <c:pt idx="981">
                  <c:v>33.646500000001751</c:v>
                </c:pt>
                <c:pt idx="982">
                  <c:v>33.646600000001754</c:v>
                </c:pt>
                <c:pt idx="983">
                  <c:v>33.646700000001758</c:v>
                </c:pt>
                <c:pt idx="984">
                  <c:v>33.646800000001761</c:v>
                </c:pt>
                <c:pt idx="985">
                  <c:v>33.646900000001764</c:v>
                </c:pt>
                <c:pt idx="986">
                  <c:v>33.647000000001768</c:v>
                </c:pt>
                <c:pt idx="987">
                  <c:v>33.647100000001771</c:v>
                </c:pt>
                <c:pt idx="988">
                  <c:v>33.647200000001774</c:v>
                </c:pt>
                <c:pt idx="989">
                  <c:v>33.647300000001778</c:v>
                </c:pt>
                <c:pt idx="990">
                  <c:v>33.647400000001781</c:v>
                </c:pt>
                <c:pt idx="991">
                  <c:v>33.647500000001784</c:v>
                </c:pt>
                <c:pt idx="992">
                  <c:v>33.647600000001788</c:v>
                </c:pt>
                <c:pt idx="993">
                  <c:v>33.647700000001791</c:v>
                </c:pt>
                <c:pt idx="994">
                  <c:v>33.647800000001794</c:v>
                </c:pt>
                <c:pt idx="995">
                  <c:v>33.647900000001798</c:v>
                </c:pt>
                <c:pt idx="996">
                  <c:v>33.648000000001801</c:v>
                </c:pt>
                <c:pt idx="997">
                  <c:v>33.648100000001804</c:v>
                </c:pt>
                <c:pt idx="998">
                  <c:v>33.648200000001808</c:v>
                </c:pt>
                <c:pt idx="999">
                  <c:v>33.648300000001811</c:v>
                </c:pt>
                <c:pt idx="1000">
                  <c:v>33.648400000001814</c:v>
                </c:pt>
              </c:numCache>
            </c:numRef>
          </c:xVal>
          <c:yVal>
            <c:numRef>
              <c:f>Calculs!$AE$4:$AE$1004</c:f>
              <c:numCache>
                <c:formatCode>0</c:formatCode>
                <c:ptCount val="1001"/>
                <c:pt idx="0">
                  <c:v>0</c:v>
                </c:pt>
                <c:pt idx="1">
                  <c:v>8.772253913530354E-4</c:v>
                </c:pt>
                <c:pt idx="2">
                  <c:v>7.2754367754342382E-3</c:v>
                </c:pt>
                <c:pt idx="3">
                  <c:v>2.5256519899900413E-2</c:v>
                </c:pt>
                <c:pt idx="4">
                  <c:v>5.6876016719973263E-2</c:v>
                </c:pt>
                <c:pt idx="5">
                  <c:v>0.10165371660956621</c:v>
                </c:pt>
                <c:pt idx="6">
                  <c:v>0.15925498526388057</c:v>
                </c:pt>
                <c:pt idx="7">
                  <c:v>0.22963793125601001</c:v>
                </c:pt>
                <c:pt idx="8">
                  <c:v>0.31290726322928986</c:v>
                </c:pt>
                <c:pt idx="9">
                  <c:v>0.40916774272854622</c:v>
                </c:pt>
                <c:pt idx="10">
                  <c:v>0.51852418208563844</c:v>
                </c:pt>
                <c:pt idx="11">
                  <c:v>0.64106621127563668</c:v>
                </c:pt>
                <c:pt idx="12">
                  <c:v>0.77685300300344962</c:v>
                </c:pt>
                <c:pt idx="13">
                  <c:v>0.92592843999032071</c:v>
                </c:pt>
                <c:pt idx="14">
                  <c:v>1.0883363243303719</c:v>
                </c:pt>
                <c:pt idx="15">
                  <c:v>1.264120375956824</c:v>
                </c:pt>
                <c:pt idx="16">
                  <c:v>1.4533242311033399</c:v>
                </c:pt>
                <c:pt idx="17">
                  <c:v>1.6559914407606002</c:v>
                </c:pt>
                <c:pt idx="18">
                  <c:v>1.8721654691282292</c:v>
                </c:pt>
                <c:pt idx="19">
                  <c:v>2.1018896920621857</c:v>
                </c:pt>
                <c:pt idx="20">
                  <c:v>2.3452073955177375</c:v>
                </c:pt>
                <c:pt idx="21">
                  <c:v>2.602155659767575</c:v>
                </c:pt>
                <c:pt idx="22">
                  <c:v>2.8727592271988414</c:v>
                </c:pt>
                <c:pt idx="23">
                  <c:v>3.1570365913001366</c:v>
                </c:pt>
                <c:pt idx="24">
                  <c:v>3.4550061023868048</c:v>
                </c:pt>
                <c:pt idx="25">
                  <c:v>3.7666859666786143</c:v>
                </c:pt>
                <c:pt idx="26">
                  <c:v>4.0920942453824569</c:v>
                </c:pt>
                <c:pt idx="27">
                  <c:v>4.4312340525029876</c:v>
                </c:pt>
                <c:pt idx="28">
                  <c:v>4.7841077362197328</c:v>
                </c:pt>
                <c:pt idx="29">
                  <c:v>5.1507316874083733</c:v>
                </c:pt>
                <c:pt idx="30">
                  <c:v>5.531122174472225</c:v>
                </c:pt>
                <c:pt idx="31">
                  <c:v>5.9252953511364588</c:v>
                </c:pt>
                <c:pt idx="32">
                  <c:v>6.3332672533163876</c:v>
                </c:pt>
                <c:pt idx="33">
                  <c:v>6.7550537962080375</c:v>
                </c:pt>
                <c:pt idx="34">
                  <c:v>7.1906707715740588</c:v>
                </c:pt>
                <c:pt idx="35">
                  <c:v>7.6401338452021657</c:v>
                </c:pt>
                <c:pt idx="36">
                  <c:v>8.1034585545166511</c:v>
                </c:pt>
                <c:pt idx="37">
                  <c:v>8.5806603063263491</c:v>
                </c:pt>
                <c:pt idx="38">
                  <c:v>9.0717543746947129</c:v>
                </c:pt>
                <c:pt idx="39">
                  <c:v>9.5767558989196608</c:v>
                </c:pt>
                <c:pt idx="40">
                  <c:v>10.095679881612455</c:v>
                </c:pt>
                <c:pt idx="41">
                  <c:v>10.628536427681617</c:v>
                </c:pt>
                <c:pt idx="42">
                  <c:v>11.175325972355473</c:v>
                </c:pt>
                <c:pt idx="43">
                  <c:v>11.736044023400133</c:v>
                </c:pt>
                <c:pt idx="44">
                  <c:v>12.310685914743388</c:v>
                </c:pt>
                <c:pt idx="45">
                  <c:v>12.899246805525491</c:v>
                </c:pt>
                <c:pt idx="46">
                  <c:v>13.501721679218752</c:v>
                </c:pt>
                <c:pt idx="47">
                  <c:v>14.118105342810834</c:v>
                </c:pt>
                <c:pt idx="48">
                  <c:v>14.748392426047207</c:v>
                </c:pt>
                <c:pt idx="49">
                  <c:v>15.392577380728719</c:v>
                </c:pt>
                <c:pt idx="50">
                  <c:v>16.050654480060643</c:v>
                </c:pt>
                <c:pt idx="51">
                  <c:v>16.722617818049983</c:v>
                </c:pt>
                <c:pt idx="52">
                  <c:v>17.408461308948098</c:v>
                </c:pt>
                <c:pt idx="53">
                  <c:v>18.108178686736036</c:v>
                </c:pt>
                <c:pt idx="54">
                  <c:v>18.8217635046502</c:v>
                </c:pt>
                <c:pt idx="55">
                  <c:v>19.549209134746221</c:v>
                </c:pt>
                <c:pt idx="56">
                  <c:v>20.290508767499063</c:v>
                </c:pt>
                <c:pt idx="57">
                  <c:v>21.045655411437622</c:v>
                </c:pt>
                <c:pt idx="58">
                  <c:v>21.814641892812219</c:v>
                </c:pt>
                <c:pt idx="59">
                  <c:v>22.597460855293495</c:v>
                </c:pt>
                <c:pt idx="60">
                  <c:v>23.394104759701406</c:v>
                </c:pt>
                <c:pt idx="61">
                  <c:v>24.204565883763053</c:v>
                </c:pt>
                <c:pt idx="62">
                  <c:v>25.028836321898275</c:v>
                </c:pt>
                <c:pt idx="63">
                  <c:v>25.866907985031929</c:v>
                </c:pt>
                <c:pt idx="64">
                  <c:v>26.71877260043194</c:v>
                </c:pt>
                <c:pt idx="65">
                  <c:v>27.584421711572233</c:v>
                </c:pt>
                <c:pt idx="66">
                  <c:v>28.463846678019735</c:v>
                </c:pt>
                <c:pt idx="67">
                  <c:v>29.357038675344725</c:v>
                </c:pt>
                <c:pt idx="68">
                  <c:v>30.263988695053818</c:v>
                </c:pt>
                <c:pt idx="69">
                  <c:v>31.18468754454495</c:v>
                </c:pt>
                <c:pt idx="70">
                  <c:v>32.119125847083765</c:v>
                </c:pt>
                <c:pt idx="71">
                  <c:v>33.067294041800871</c:v>
                </c:pt>
                <c:pt idx="72">
                  <c:v>34.02918238370939</c:v>
                </c:pt>
                <c:pt idx="73">
                  <c:v>35.004780943742425</c:v>
                </c:pt>
                <c:pt idx="74">
                  <c:v>35.994079608809855</c:v>
                </c:pt>
                <c:pt idx="75">
                  <c:v>36.997068081874161</c:v>
                </c:pt>
                <c:pt idx="76">
                  <c:v>38.013735882044799</c:v>
                </c:pt>
                <c:pt idx="77">
                  <c:v>39.044072344690811</c:v>
                </c:pt>
                <c:pt idx="78">
                  <c:v>40.088066621571258</c:v>
                </c:pt>
                <c:pt idx="79">
                  <c:v>41.1457076809832</c:v>
                </c:pt>
                <c:pt idx="80">
                  <c:v>42.216984307926872</c:v>
                </c:pt>
                <c:pt idx="81">
                  <c:v>43.301880264336113</c:v>
                </c:pt>
                <c:pt idx="82">
                  <c:v>44.400369440399622</c:v>
                </c:pt>
                <c:pt idx="83">
                  <c:v>45.51242068417173</c:v>
                </c:pt>
                <c:pt idx="84">
                  <c:v>46.638002640537323</c:v>
                </c:pt>
                <c:pt idx="85">
                  <c:v>47.777083752284568</c:v>
                </c:pt>
                <c:pt idx="86">
                  <c:v>48.92963226119516</c:v>
                </c:pt>
                <c:pt idx="87">
                  <c:v>50.095616209151714</c:v>
                </c:pt>
                <c:pt idx="88">
                  <c:v>51.275003439261987</c:v>
                </c:pt>
                <c:pt idx="89">
                  <c:v>52.467761596999388</c:v>
                </c:pt>
                <c:pt idx="90">
                  <c:v>53.673858131359609</c:v>
                </c:pt>
                <c:pt idx="91">
                  <c:v>54.893258156395945</c:v>
                </c:pt>
                <c:pt idx="92">
                  <c:v>56.125922309201115</c:v>
                </c:pt>
                <c:pt idx="93">
                  <c:v>57.37180888681921</c:v>
                </c:pt>
                <c:pt idx="94">
                  <c:v>58.630875986941582</c:v>
                </c:pt>
                <c:pt idx="95">
                  <c:v>59.903081509539369</c:v>
                </c:pt>
                <c:pt idx="96">
                  <c:v>61.188383158509829</c:v>
                </c:pt>
                <c:pt idx="97">
                  <c:v>62.486738443336158</c:v>
                </c:pt>
                <c:pt idx="98">
                  <c:v>63.798104680760403</c:v>
                </c:pt>
                <c:pt idx="99">
                  <c:v>65.122438996469057</c:v>
                </c:pt>
                <c:pt idx="100">
                  <c:v>66.459698326791056</c:v>
                </c:pt>
                <c:pt idx="101">
                  <c:v>67.809839077977514</c:v>
                </c:pt>
                <c:pt idx="102">
                  <c:v>69.172816784987262</c:v>
                </c:pt>
                <c:pt idx="103">
                  <c:v>70.54858645514517</c:v>
                </c:pt>
                <c:pt idx="104">
                  <c:v>71.93710291235017</c:v>
                </c:pt>
                <c:pt idx="105">
                  <c:v>73.338320798895296</c:v>
                </c:pt>
                <c:pt idx="106">
                  <c:v>74.752194577297999</c:v>
                </c:pt>
                <c:pt idx="107">
                  <c:v>76.178678532140111</c:v>
                </c:pt>
                <c:pt idx="108">
                  <c:v>77.617726771917361</c:v>
                </c:pt>
                <c:pt idx="109">
                  <c:v>79.069293230897998</c:v>
                </c:pt>
                <c:pt idx="110">
                  <c:v>80.533331670990165</c:v>
                </c:pt>
                <c:pt idx="111">
                  <c:v>82.009799628496125</c:v>
                </c:pt>
                <c:pt idx="112">
                  <c:v>83.49866236595993</c:v>
                </c:pt>
                <c:pt idx="113">
                  <c:v>84.999888933611786</c:v>
                </c:pt>
                <c:pt idx="114">
                  <c:v>86.513448225377232</c:v>
                </c:pt>
                <c:pt idx="115">
                  <c:v>88.039308980069563</c:v>
                </c:pt>
                <c:pt idx="116">
                  <c:v>89.577439782590886</c:v>
                </c:pt>
                <c:pt idx="117">
                  <c:v>91.127809065141633</c:v>
                </c:pt>
                <c:pt idx="118">
                  <c:v>92.690385108438264</c:v>
                </c:pt>
                <c:pt idx="119">
                  <c:v>94.265136042939091</c:v>
                </c:pt>
                <c:pt idx="120">
                  <c:v>95.852029850077955</c:v>
                </c:pt>
                <c:pt idx="121">
                  <c:v>97.451027816669367</c:v>
                </c:pt>
                <c:pt idx="122">
                  <c:v>99.062077981943247</c:v>
                </c:pt>
                <c:pt idx="123">
                  <c:v>100.68512168035352</c:v>
                </c:pt>
                <c:pt idx="124">
                  <c:v>102.3201000923803</c:v>
                </c:pt>
                <c:pt idx="125">
                  <c:v>103.96695424701494</c:v>
                </c:pt>
                <c:pt idx="126">
                  <c:v>105.62562502424719</c:v>
                </c:pt>
                <c:pt idx="127">
                  <c:v>107.29605315755407</c:v>
                </c:pt>
                <c:pt idx="128">
                  <c:v>108.97817923639029</c:v>
                </c:pt>
                <c:pt idx="129">
                  <c:v>110.67194370867954</c:v>
                </c:pt>
                <c:pt idx="130">
                  <c:v>112.37728688330651</c:v>
                </c:pt>
                <c:pt idx="131">
                  <c:v>114.09414721764742</c:v>
                </c:pt>
                <c:pt idx="132">
                  <c:v>115.82245960354244</c:v>
                </c:pt>
                <c:pt idx="133">
                  <c:v>117.56215708405546</c:v>
                </c:pt>
                <c:pt idx="134">
                  <c:v>119.31317257196277</c:v>
                </c:pt>
                <c:pt idx="135">
                  <c:v>121.07543885258555</c:v>
                </c:pt>
                <c:pt idx="136">
                  <c:v>122.84888858661861</c:v>
                </c:pt>
                <c:pt idx="137">
                  <c:v>124.63345431295531</c:v>
                </c:pt>
                <c:pt idx="138">
                  <c:v>126.42906845150793</c:v>
                </c:pt>
                <c:pt idx="139">
                  <c:v>128.23566330602353</c:v>
                </c:pt>
                <c:pt idx="140">
                  <c:v>130.05317106689444</c:v>
                </c:pt>
                <c:pt idx="141">
                  <c:v>131.88150329728774</c:v>
                </c:pt>
                <c:pt idx="142">
                  <c:v>133.72053040559149</c:v>
                </c:pt>
                <c:pt idx="143">
                  <c:v>135.57010216572837</c:v>
                </c:pt>
                <c:pt idx="144">
                  <c:v>137.43006825365975</c:v>
                </c:pt>
                <c:pt idx="145">
                  <c:v>139.30027825517917</c:v>
                </c:pt>
                <c:pt idx="146">
                  <c:v>141.18058167364725</c:v>
                </c:pt>
                <c:pt idx="147">
                  <c:v>143.07082793766736</c:v>
                </c:pt>
                <c:pt idx="148">
                  <c:v>144.97086640870035</c:v>
                </c:pt>
                <c:pt idx="149">
                  <c:v>146.88054638861755</c:v>
                </c:pt>
                <c:pt idx="150">
                  <c:v>148.79971712719083</c:v>
                </c:pt>
                <c:pt idx="151">
                  <c:v>150.72822782951872</c:v>
                </c:pt>
                <c:pt idx="152">
                  <c:v>152.66592766338741</c:v>
                </c:pt>
                <c:pt idx="153">
                  <c:v>154.61266576656575</c:v>
                </c:pt>
                <c:pt idx="154">
                  <c:v>156.56829125403337</c:v>
                </c:pt>
                <c:pt idx="155">
                  <c:v>158.53265322514068</c:v>
                </c:pt>
                <c:pt idx="156">
                  <c:v>160.50550353814256</c:v>
                </c:pt>
                <c:pt idx="157">
                  <c:v>162.48639958495508</c:v>
                </c:pt>
                <c:pt idx="158">
                  <c:v>164.47480164958151</c:v>
                </c:pt>
                <c:pt idx="159">
                  <c:v>166.47017029015527</c:v>
                </c:pt>
                <c:pt idx="160">
                  <c:v>168.47196639327146</c:v>
                </c:pt>
                <c:pt idx="161">
                  <c:v>170.47952759311173</c:v>
                </c:pt>
                <c:pt idx="162">
                  <c:v>172.49194478448419</c:v>
                </c:pt>
                <c:pt idx="163">
                  <c:v>174.50819791169513</c:v>
                </c:pt>
                <c:pt idx="164">
                  <c:v>176.52729170632691</c:v>
                </c:pt>
                <c:pt idx="165">
                  <c:v>178.54836213411519</c:v>
                </c:pt>
                <c:pt idx="166">
                  <c:v>180.57078266122147</c:v>
                </c:pt>
                <c:pt idx="167">
                  <c:v>182.59395606140745</c:v>
                </c:pt>
                <c:pt idx="168">
                  <c:v>184.61717147437133</c:v>
                </c:pt>
                <c:pt idx="169">
                  <c:v>186.63950902419984</c:v>
                </c:pt>
                <c:pt idx="170">
                  <c:v>188.65980967269536</c:v>
                </c:pt>
                <c:pt idx="171">
                  <c:v>190.67726287924197</c:v>
                </c:pt>
                <c:pt idx="172">
                  <c:v>192.69166813392965</c:v>
                </c:pt>
                <c:pt idx="173">
                  <c:v>194.7030320533828</c:v>
                </c:pt>
                <c:pt idx="174">
                  <c:v>196.71136122821548</c:v>
                </c:pt>
                <c:pt idx="175">
                  <c:v>198.71666222316696</c:v>
                </c:pt>
                <c:pt idx="176">
                  <c:v>200.71894157723634</c:v>
                </c:pt>
                <c:pt idx="177">
                  <c:v>202.71820580381623</c:v>
                </c:pt>
                <c:pt idx="178">
                  <c:v>204.71446139082576</c:v>
                </c:pt>
                <c:pt idx="179">
                  <c:v>206.70771480084247</c:v>
                </c:pt>
                <c:pt idx="180">
                  <c:v>208.6979724712335</c:v>
                </c:pt>
                <c:pt idx="181">
                  <c:v>210.68524081428581</c:v>
                </c:pt>
                <c:pt idx="182">
                  <c:v>212.66952621733566</c:v>
                </c:pt>
                <c:pt idx="183">
                  <c:v>214.65083504289723</c:v>
                </c:pt>
                <c:pt idx="184">
                  <c:v>216.62917362879031</c:v>
                </c:pt>
                <c:pt idx="185">
                  <c:v>218.60454828826724</c:v>
                </c:pt>
                <c:pt idx="186">
                  <c:v>220.57696531013903</c:v>
                </c:pt>
                <c:pt idx="187">
                  <c:v>222.5464309589006</c:v>
                </c:pt>
                <c:pt idx="188">
                  <c:v>224.51295147485527</c:v>
                </c:pt>
                <c:pt idx="189">
                  <c:v>226.47653307423849</c:v>
                </c:pt>
                <c:pt idx="190">
                  <c:v>228.43718194934061</c:v>
                </c:pt>
                <c:pt idx="191">
                  <c:v>230.39490426862901</c:v>
                </c:pt>
                <c:pt idx="192">
                  <c:v>232.34970617686935</c:v>
                </c:pt>
                <c:pt idx="193">
                  <c:v>234.30159379524619</c:v>
                </c:pt>
                <c:pt idx="194">
                  <c:v>236.2505732214826</c:v>
                </c:pt>
                <c:pt idx="195">
                  <c:v>238.19665052995919</c:v>
                </c:pt>
                <c:pt idx="196">
                  <c:v>240.13983177183235</c:v>
                </c:pt>
                <c:pt idx="197">
                  <c:v>242.08012297515162</c:v>
                </c:pt>
                <c:pt idx="198">
                  <c:v>244.01753014497649</c:v>
                </c:pt>
                <c:pt idx="199">
                  <c:v>245.95205926349229</c:v>
                </c:pt>
                <c:pt idx="200">
                  <c:v>247.88371629012539</c:v>
                </c:pt>
                <c:pt idx="201">
                  <c:v>267.04278134940603</c:v>
                </c:pt>
                <c:pt idx="202">
                  <c:v>285.91845415997216</c:v>
                </c:pt>
                <c:pt idx="203">
                  <c:v>304.51647953994552</c:v>
                </c:pt>
                <c:pt idx="204">
                  <c:v>322.84238932557327</c:v>
                </c:pt>
                <c:pt idx="205">
                  <c:v>340.90151270487166</c:v>
                </c:pt>
                <c:pt idx="206">
                  <c:v>358.69898592371345</c:v>
                </c:pt>
                <c:pt idx="207">
                  <c:v>376.23976140975299</c:v>
                </c:pt>
                <c:pt idx="208">
                  <c:v>393.52861635578302</c:v>
                </c:pt>
                <c:pt idx="209">
                  <c:v>410.57016080067353</c:v>
                </c:pt>
                <c:pt idx="210">
                  <c:v>427.36884524292645</c:v>
                </c:pt>
                <c:pt idx="211">
                  <c:v>443.92896781904818</c:v>
                </c:pt>
                <c:pt idx="212">
                  <c:v>460.25468107637266</c:v>
                </c:pt>
                <c:pt idx="213">
                  <c:v>476.34999836762898</c:v>
                </c:pt>
                <c:pt idx="214">
                  <c:v>492.21879989241813</c:v>
                </c:pt>
                <c:pt idx="215">
                  <c:v>507.86483840882357</c:v>
                </c:pt>
                <c:pt idx="216">
                  <c:v>523.29174463660877</c:v>
                </c:pt>
                <c:pt idx="217">
                  <c:v>538.50303237183709</c:v>
                </c:pt>
                <c:pt idx="218">
                  <c:v>553.50210333127029</c:v>
                </c:pt>
                <c:pt idx="219">
                  <c:v>568.2922517435461</c:v>
                </c:pt>
                <c:pt idx="220">
                  <c:v>582.87666870289729</c:v>
                </c:pt>
                <c:pt idx="221">
                  <c:v>597.25844630003314</c:v>
                </c:pt>
                <c:pt idx="222">
                  <c:v>611.4405815437608</c:v>
                </c:pt>
                <c:pt idx="223">
                  <c:v>625.42598008596508</c:v>
                </c:pt>
                <c:pt idx="224">
                  <c:v>639.21745976167858</c:v>
                </c:pt>
                <c:pt idx="225">
                  <c:v>652.8177539551649</c:v>
                </c:pt>
                <c:pt idx="226">
                  <c:v>666.22951480218603</c:v>
                </c:pt>
                <c:pt idx="227">
                  <c:v>679.45531623793465</c:v>
                </c:pt>
                <c:pt idx="228">
                  <c:v>692.49765689947606</c:v>
                </c:pt>
                <c:pt idx="229">
                  <c:v>705.35896289095297</c:v>
                </c:pt>
                <c:pt idx="230">
                  <c:v>718.04159041926459</c:v>
                </c:pt>
                <c:pt idx="231">
                  <c:v>730.54782830742647</c:v>
                </c:pt>
                <c:pt idx="232">
                  <c:v>742.87990039235069</c:v>
                </c:pt>
                <c:pt idx="233">
                  <c:v>755.03996781335661</c:v>
                </c:pt>
                <c:pt idx="234">
                  <c:v>767.03013119731804</c:v>
                </c:pt>
                <c:pt idx="235">
                  <c:v>778.8524327459844</c:v>
                </c:pt>
                <c:pt idx="236">
                  <c:v>790.50885823066665</c:v>
                </c:pt>
                <c:pt idx="237">
                  <c:v>802.00133889915753</c:v>
                </c:pt>
                <c:pt idx="238">
                  <c:v>813.33175329945948</c:v>
                </c:pt>
                <c:pt idx="239">
                  <c:v>824.50192902461379</c:v>
                </c:pt>
                <c:pt idx="240">
                  <c:v>835.5136443826683</c:v>
                </c:pt>
                <c:pt idx="241">
                  <c:v>846.36862999557832</c:v>
                </c:pt>
                <c:pt idx="242">
                  <c:v>857.06857033061294</c:v>
                </c:pt>
                <c:pt idx="243">
                  <c:v>867.61510516762803</c:v>
                </c:pt>
                <c:pt idx="244">
                  <c:v>878.00983100537269</c:v>
                </c:pt>
                <c:pt idx="245">
                  <c:v>888.2543024098137</c:v>
                </c:pt>
                <c:pt idx="246">
                  <c:v>898.35003330729091</c:v>
                </c:pt>
                <c:pt idx="247">
                  <c:v>908.29849822515826</c:v>
                </c:pt>
                <c:pt idx="248">
                  <c:v>918.10113348241475</c:v>
                </c:pt>
                <c:pt idx="249">
                  <c:v>927.75933833269187</c:v>
                </c:pt>
                <c:pt idx="250">
                  <c:v>937.27447606183057</c:v>
                </c:pt>
                <c:pt idx="251">
                  <c:v>946.64787504216099</c:v>
                </c:pt>
                <c:pt idx="252">
                  <c:v>955.88082974548161</c:v>
                </c:pt>
                <c:pt idx="253">
                  <c:v>964.97460171662726</c:v>
                </c:pt>
                <c:pt idx="254">
                  <c:v>973.93042050941381</c:v>
                </c:pt>
                <c:pt idx="255">
                  <c:v>982.74948458665347</c:v>
                </c:pt>
                <c:pt idx="256">
                  <c:v>991.43296218584396</c:v>
                </c:pt>
                <c:pt idx="257">
                  <c:v>999.98199215205238</c:v>
                </c:pt>
                <c:pt idx="258">
                  <c:v>1008.3976847394348</c:v>
                </c:pt>
                <c:pt idx="259">
                  <c:v>1016.6811223827584</c:v>
                </c:pt>
                <c:pt idx="260">
                  <c:v>1024.8333604402246</c:v>
                </c:pt>
                <c:pt idx="261">
                  <c:v>1032.8554279088239</c:v>
                </c:pt>
                <c:pt idx="262">
                  <c:v>1040.7483281133927</c:v>
                </c:pt>
                <c:pt idx="263">
                  <c:v>1048.5130393704849</c:v>
                </c:pt>
                <c:pt idx="264">
                  <c:v>1056.1505156281125</c:v>
                </c:pt>
                <c:pt idx="265">
                  <c:v>1063.6616870823639</c:v>
                </c:pt>
                <c:pt idx="266">
                  <c:v>1071.0474607718515</c:v>
                </c:pt>
                <c:pt idx="267">
                  <c:v>1078.3087211509057</c:v>
                </c:pt>
                <c:pt idx="268">
                  <c:v>1085.4463306423743</c:v>
                </c:pt>
                <c:pt idx="269">
                  <c:v>1092.461130170861</c:v>
                </c:pt>
                <c:pt idx="270">
                  <c:v>1099.3539396771851</c:v>
                </c:pt>
                <c:pt idx="271">
                  <c:v>1106.125558614817</c:v>
                </c:pt>
                <c:pt idx="272">
                  <c:v>1112.7767664290061</c:v>
                </c:pt>
                <c:pt idx="273">
                  <c:v>1119.3083230192838</c:v>
                </c:pt>
                <c:pt idx="274">
                  <c:v>1125.7209691859989</c:v>
                </c:pt>
                <c:pt idx="275">
                  <c:v>1132.0154270615096</c:v>
                </c:pt>
                <c:pt idx="276">
                  <c:v>1138.1924005266312</c:v>
                </c:pt>
                <c:pt idx="277">
                  <c:v>1144.2525756129128</c:v>
                </c:pt>
                <c:pt idx="278">
                  <c:v>1150.1966208912945</c:v>
                </c:pt>
                <c:pt idx="279">
                  <c:v>1156.0251878476702</c:v>
                </c:pt>
                <c:pt idx="280">
                  <c:v>1161.7389112458641</c:v>
                </c:pt>
                <c:pt idx="281">
                  <c:v>1167.3384094785101</c:v>
                </c:pt>
                <c:pt idx="282">
                  <c:v>1172.8242849062999</c:v>
                </c:pt>
                <c:pt idx="283">
                  <c:v>1178.1971241860556</c:v>
                </c:pt>
                <c:pt idx="284">
                  <c:v>1183.4574985880633</c:v>
                </c:pt>
                <c:pt idx="285">
                  <c:v>1188.6059643030919</c:v>
                </c:pt>
                <c:pt idx="286">
                  <c:v>1193.6430627395059</c:v>
                </c:pt>
                <c:pt idx="287">
                  <c:v>1198.5693208108753</c:v>
                </c:pt>
                <c:pt idx="288">
                  <c:v>1203.3852512144686</c:v>
                </c:pt>
                <c:pt idx="289">
                  <c:v>1208.0913527010125</c:v>
                </c:pt>
                <c:pt idx="290">
                  <c:v>1212.6881103360915</c:v>
                </c:pt>
                <c:pt idx="291">
                  <c:v>1217.1759957535551</c:v>
                </c:pt>
                <c:pt idx="292">
                  <c:v>1221.5554674012972</c:v>
                </c:pt>
                <c:pt idx="293">
                  <c:v>1225.826970779771</c:v>
                </c:pt>
                <c:pt idx="294">
                  <c:v>1229.9909386735987</c:v>
                </c:pt>
                <c:pt idx="295">
                  <c:v>1234.0477913766392</c:v>
                </c:pt>
                <c:pt idx="296">
                  <c:v>1237.9979369108812</c:v>
                </c:pt>
                <c:pt idx="297">
                  <c:v>1241.8417712395324</c:v>
                </c:pt>
                <c:pt idx="298">
                  <c:v>1245.579678474684</c:v>
                </c:pt>
                <c:pt idx="299">
                  <c:v>1249.2120310799421</c:v>
                </c:pt>
                <c:pt idx="300">
                  <c:v>1252.7391900684295</c:v>
                </c:pt>
                <c:pt idx="301">
                  <c:v>1256.1615051965794</c:v>
                </c:pt>
                <c:pt idx="302">
                  <c:v>1259.4793151541624</c:v>
                </c:pt>
                <c:pt idx="303">
                  <c:v>1262.6929477510121</c:v>
                </c:pt>
                <c:pt idx="304">
                  <c:v>1265.8027201009429</c:v>
                </c:pt>
                <c:pt idx="305">
                  <c:v>1268.8089388033895</c:v>
                </c:pt>
                <c:pt idx="306">
                  <c:v>1271.7119001233311</c:v>
                </c:pt>
                <c:pt idx="307">
                  <c:v>1274.5118901701101</c:v>
                </c:pt>
                <c:pt idx="308">
                  <c:v>1277.209185075804</c:v>
                </c:pt>
                <c:pt idx="309">
                  <c:v>1279.8040511738641</c:v>
                </c:pt>
                <c:pt idx="310">
                  <c:v>1282.2967451787956</c:v>
                </c:pt>
                <c:pt idx="311">
                  <c:v>1284.6875143677248</c:v>
                </c:pt>
                <c:pt idx="312">
                  <c:v>1286.9765967647702</c:v>
                </c:pt>
                <c:pt idx="313">
                  <c:v>1289.1642213292193</c:v>
                </c:pt>
                <c:pt idx="314">
                  <c:v>1291.2506081485956</c:v>
                </c:pt>
                <c:pt idx="315">
                  <c:v>1293.2359686377911</c:v>
                </c:pt>
                <c:pt idx="316">
                  <c:v>1295.1205057455368</c:v>
                </c:pt>
                <c:pt idx="317">
                  <c:v>1296.9044141695706</c:v>
                </c:pt>
                <c:pt idx="318">
                  <c:v>1298.5878805819525</c:v>
                </c:pt>
                <c:pt idx="319">
                  <c:v>1300.1710838660608</c:v>
                </c:pt>
                <c:pt idx="320">
                  <c:v>1301.6541953668641</c:v>
                </c:pt>
                <c:pt idx="321">
                  <c:v>1303.0373791561117</c:v>
                </c:pt>
                <c:pt idx="322">
                  <c:v>1304.3207923140974</c:v>
                </c:pt>
                <c:pt idx="323">
                  <c:v>1305.5045852296269</c:v>
                </c:pt>
                <c:pt idx="324">
                  <c:v>1306.5889019197398</c:v>
                </c:pt>
                <c:pt idx="325">
                  <c:v>1307.5738803706017</c:v>
                </c:pt>
                <c:pt idx="326">
                  <c:v>1308.4596529007677</c:v>
                </c:pt>
                <c:pt idx="327">
                  <c:v>1309.2463465477244</c:v>
                </c:pt>
                <c:pt idx="328">
                  <c:v>1309.9340834782438</c:v>
                </c:pt>
                <c:pt idx="329">
                  <c:v>1310.5229814226036</c:v>
                </c:pt>
                <c:pt idx="330">
                  <c:v>1311.0131541321896</c:v>
                </c:pt>
                <c:pt idx="331">
                  <c:v>1311.4047118593642</c:v>
                </c:pt>
                <c:pt idx="332">
                  <c:v>1311.6977618578248</c:v>
                </c:pt>
                <c:pt idx="333">
                  <c:v>1311.8924089009854</c:v>
                </c:pt>
                <c:pt idx="334">
                  <c:v>1311.9887558152445</c:v>
                </c:pt>
                <c:pt idx="335">
                  <c:v>1311.9869040243964</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4C7F-469F-ADED-1B0B28F452E1}"/>
            </c:ext>
          </c:extLst>
        </c:ser>
        <c:ser>
          <c:idx val="6"/>
          <c:order val="6"/>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3.9</c:v>
                </c:pt>
              </c:numCache>
            </c:numRef>
          </c:xVal>
          <c:yVal>
            <c:numRef>
              <c:f>Trajecto!$C$158</c:f>
              <c:numCache>
                <c:formatCode>0</c:formatCode>
                <c:ptCount val="1"/>
                <c:pt idx="0">
                  <c:v>655.94347705046448</c:v>
                </c:pt>
              </c:numCache>
            </c:numRef>
          </c:yVal>
          <c:smooth val="0"/>
          <c:extLst>
            <c:ext xmlns:c16="http://schemas.microsoft.com/office/drawing/2014/chart" uri="{C3380CC4-5D6E-409C-BE32-E72D297353CC}">
              <c16:uniqueId val="{00000008-4C7F-469F-ADED-1B0B28F452E1}"/>
            </c:ext>
          </c:extLst>
        </c:ser>
        <c:ser>
          <c:idx val="7"/>
          <c:order val="7"/>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Trajecto!$B$159</c:f>
              <c:numCache>
                <c:formatCode>General</c:formatCode>
                <c:ptCount val="1"/>
                <c:pt idx="0">
                  <c:v>24.500000000000085</c:v>
                </c:pt>
              </c:numCache>
            </c:numRef>
          </c:xVal>
          <c:yVal>
            <c:numRef>
              <c:f>Trajecto!$C$159</c:f>
              <c:numCache>
                <c:formatCode>0</c:formatCode>
                <c:ptCount val="1"/>
                <c:pt idx="0">
                  <c:v>655.99437790762227</c:v>
                </c:pt>
              </c:numCache>
            </c:numRef>
          </c:yVal>
          <c:smooth val="0"/>
          <c:extLst>
            <c:ext xmlns:c16="http://schemas.microsoft.com/office/drawing/2014/chart" uri="{C3380CC4-5D6E-409C-BE32-E72D297353CC}">
              <c16:uniqueId val="{00000009-4C7F-469F-ADED-1B0B28F452E1}"/>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Trajecto!$B$113</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33.600100000000211</c:v>
                </c:pt>
                <c:pt idx="518">
                  <c:v>33.600200000000214</c:v>
                </c:pt>
                <c:pt idx="519">
                  <c:v>33.600300000000217</c:v>
                </c:pt>
                <c:pt idx="520">
                  <c:v>33.600400000000221</c:v>
                </c:pt>
                <c:pt idx="521">
                  <c:v>33.600500000000224</c:v>
                </c:pt>
                <c:pt idx="522">
                  <c:v>33.600600000000227</c:v>
                </c:pt>
                <c:pt idx="523">
                  <c:v>33.600700000000231</c:v>
                </c:pt>
                <c:pt idx="524">
                  <c:v>33.600800000000234</c:v>
                </c:pt>
                <c:pt idx="525">
                  <c:v>33.600900000000237</c:v>
                </c:pt>
                <c:pt idx="526">
                  <c:v>33.601000000000241</c:v>
                </c:pt>
                <c:pt idx="527">
                  <c:v>33.601100000000244</c:v>
                </c:pt>
                <c:pt idx="528">
                  <c:v>33.601200000000247</c:v>
                </c:pt>
                <c:pt idx="529">
                  <c:v>33.601300000000251</c:v>
                </c:pt>
                <c:pt idx="530">
                  <c:v>33.601400000000254</c:v>
                </c:pt>
                <c:pt idx="531">
                  <c:v>33.601500000000257</c:v>
                </c:pt>
                <c:pt idx="532">
                  <c:v>33.601600000000261</c:v>
                </c:pt>
                <c:pt idx="533">
                  <c:v>33.601700000000264</c:v>
                </c:pt>
                <c:pt idx="534">
                  <c:v>33.601800000000267</c:v>
                </c:pt>
                <c:pt idx="535">
                  <c:v>33.601900000000271</c:v>
                </c:pt>
                <c:pt idx="536">
                  <c:v>33.602000000000274</c:v>
                </c:pt>
                <c:pt idx="537">
                  <c:v>33.602100000000277</c:v>
                </c:pt>
                <c:pt idx="538">
                  <c:v>33.602200000000281</c:v>
                </c:pt>
                <c:pt idx="539">
                  <c:v>33.602300000000284</c:v>
                </c:pt>
                <c:pt idx="540">
                  <c:v>33.602400000000287</c:v>
                </c:pt>
                <c:pt idx="541">
                  <c:v>33.60250000000029</c:v>
                </c:pt>
                <c:pt idx="542">
                  <c:v>33.602600000000294</c:v>
                </c:pt>
                <c:pt idx="543">
                  <c:v>33.602700000000297</c:v>
                </c:pt>
                <c:pt idx="544">
                  <c:v>33.6028000000003</c:v>
                </c:pt>
                <c:pt idx="545">
                  <c:v>33.602900000000304</c:v>
                </c:pt>
                <c:pt idx="546">
                  <c:v>33.603000000000307</c:v>
                </c:pt>
                <c:pt idx="547">
                  <c:v>33.60310000000031</c:v>
                </c:pt>
                <c:pt idx="548">
                  <c:v>33.603200000000314</c:v>
                </c:pt>
                <c:pt idx="549">
                  <c:v>33.603300000000317</c:v>
                </c:pt>
                <c:pt idx="550">
                  <c:v>33.60340000000032</c:v>
                </c:pt>
                <c:pt idx="551">
                  <c:v>33.603500000000324</c:v>
                </c:pt>
                <c:pt idx="552">
                  <c:v>33.603600000000327</c:v>
                </c:pt>
                <c:pt idx="553">
                  <c:v>33.60370000000033</c:v>
                </c:pt>
                <c:pt idx="554">
                  <c:v>33.603800000000334</c:v>
                </c:pt>
                <c:pt idx="555">
                  <c:v>33.603900000000337</c:v>
                </c:pt>
                <c:pt idx="556">
                  <c:v>33.60400000000034</c:v>
                </c:pt>
                <c:pt idx="557">
                  <c:v>33.604100000000344</c:v>
                </c:pt>
                <c:pt idx="558">
                  <c:v>33.604200000000347</c:v>
                </c:pt>
                <c:pt idx="559">
                  <c:v>33.60430000000035</c:v>
                </c:pt>
                <c:pt idx="560">
                  <c:v>33.604400000000354</c:v>
                </c:pt>
                <c:pt idx="561">
                  <c:v>33.604500000000357</c:v>
                </c:pt>
                <c:pt idx="562">
                  <c:v>33.60460000000036</c:v>
                </c:pt>
                <c:pt idx="563">
                  <c:v>33.604700000000364</c:v>
                </c:pt>
                <c:pt idx="564">
                  <c:v>33.604800000000367</c:v>
                </c:pt>
                <c:pt idx="565">
                  <c:v>33.60490000000037</c:v>
                </c:pt>
                <c:pt idx="566">
                  <c:v>33.605000000000373</c:v>
                </c:pt>
                <c:pt idx="567">
                  <c:v>33.605100000000377</c:v>
                </c:pt>
                <c:pt idx="568">
                  <c:v>33.60520000000038</c:v>
                </c:pt>
                <c:pt idx="569">
                  <c:v>33.605300000000383</c:v>
                </c:pt>
                <c:pt idx="570">
                  <c:v>33.605400000000387</c:v>
                </c:pt>
                <c:pt idx="571">
                  <c:v>33.60550000000039</c:v>
                </c:pt>
                <c:pt idx="572">
                  <c:v>33.605600000000393</c:v>
                </c:pt>
                <c:pt idx="573">
                  <c:v>33.605700000000397</c:v>
                </c:pt>
                <c:pt idx="574">
                  <c:v>33.6058000000004</c:v>
                </c:pt>
                <c:pt idx="575">
                  <c:v>33.605900000000403</c:v>
                </c:pt>
                <c:pt idx="576">
                  <c:v>33.606000000000407</c:v>
                </c:pt>
                <c:pt idx="577">
                  <c:v>33.60610000000041</c:v>
                </c:pt>
                <c:pt idx="578">
                  <c:v>33.606200000000413</c:v>
                </c:pt>
                <c:pt idx="579">
                  <c:v>33.606300000000417</c:v>
                </c:pt>
                <c:pt idx="580">
                  <c:v>33.60640000000042</c:v>
                </c:pt>
                <c:pt idx="581">
                  <c:v>33.606500000000423</c:v>
                </c:pt>
                <c:pt idx="582">
                  <c:v>33.606600000000427</c:v>
                </c:pt>
                <c:pt idx="583">
                  <c:v>33.60670000000043</c:v>
                </c:pt>
                <c:pt idx="584">
                  <c:v>33.606800000000433</c:v>
                </c:pt>
                <c:pt idx="585">
                  <c:v>33.606900000000437</c:v>
                </c:pt>
                <c:pt idx="586">
                  <c:v>33.60700000000044</c:v>
                </c:pt>
                <c:pt idx="587">
                  <c:v>33.607100000000443</c:v>
                </c:pt>
                <c:pt idx="588">
                  <c:v>33.607200000000446</c:v>
                </c:pt>
                <c:pt idx="589">
                  <c:v>33.60730000000045</c:v>
                </c:pt>
                <c:pt idx="590">
                  <c:v>33.607400000000453</c:v>
                </c:pt>
                <c:pt idx="591">
                  <c:v>33.607500000000456</c:v>
                </c:pt>
                <c:pt idx="592">
                  <c:v>33.60760000000046</c:v>
                </c:pt>
                <c:pt idx="593">
                  <c:v>33.607700000000463</c:v>
                </c:pt>
                <c:pt idx="594">
                  <c:v>33.607800000000466</c:v>
                </c:pt>
                <c:pt idx="595">
                  <c:v>33.60790000000047</c:v>
                </c:pt>
                <c:pt idx="596">
                  <c:v>33.608000000000473</c:v>
                </c:pt>
                <c:pt idx="597">
                  <c:v>33.608100000000476</c:v>
                </c:pt>
                <c:pt idx="598">
                  <c:v>33.60820000000048</c:v>
                </c:pt>
                <c:pt idx="599">
                  <c:v>33.608300000000483</c:v>
                </c:pt>
                <c:pt idx="600">
                  <c:v>33.608400000000486</c:v>
                </c:pt>
                <c:pt idx="601">
                  <c:v>33.60850000000049</c:v>
                </c:pt>
                <c:pt idx="602">
                  <c:v>33.608600000000493</c:v>
                </c:pt>
                <c:pt idx="603">
                  <c:v>33.608700000000496</c:v>
                </c:pt>
                <c:pt idx="604">
                  <c:v>33.6088000000005</c:v>
                </c:pt>
                <c:pt idx="605">
                  <c:v>33.608900000000503</c:v>
                </c:pt>
                <c:pt idx="606">
                  <c:v>33.609000000000506</c:v>
                </c:pt>
                <c:pt idx="607">
                  <c:v>33.60910000000051</c:v>
                </c:pt>
                <c:pt idx="608">
                  <c:v>33.609200000000513</c:v>
                </c:pt>
                <c:pt idx="609">
                  <c:v>33.609300000000516</c:v>
                </c:pt>
                <c:pt idx="610">
                  <c:v>33.60940000000052</c:v>
                </c:pt>
                <c:pt idx="611">
                  <c:v>33.609500000000523</c:v>
                </c:pt>
                <c:pt idx="612">
                  <c:v>33.609600000000526</c:v>
                </c:pt>
                <c:pt idx="613">
                  <c:v>33.609700000000529</c:v>
                </c:pt>
                <c:pt idx="614">
                  <c:v>33.609800000000533</c:v>
                </c:pt>
                <c:pt idx="615">
                  <c:v>33.609900000000536</c:v>
                </c:pt>
                <c:pt idx="616">
                  <c:v>33.610000000000539</c:v>
                </c:pt>
                <c:pt idx="617">
                  <c:v>33.610100000000543</c:v>
                </c:pt>
                <c:pt idx="618">
                  <c:v>33.610200000000546</c:v>
                </c:pt>
                <c:pt idx="619">
                  <c:v>33.610300000000549</c:v>
                </c:pt>
                <c:pt idx="620">
                  <c:v>33.610400000000553</c:v>
                </c:pt>
                <c:pt idx="621">
                  <c:v>33.610500000000556</c:v>
                </c:pt>
                <c:pt idx="622">
                  <c:v>33.610600000000559</c:v>
                </c:pt>
                <c:pt idx="623">
                  <c:v>33.610700000000563</c:v>
                </c:pt>
                <c:pt idx="624">
                  <c:v>33.610800000000566</c:v>
                </c:pt>
                <c:pt idx="625">
                  <c:v>33.610900000000569</c:v>
                </c:pt>
                <c:pt idx="626">
                  <c:v>33.611000000000573</c:v>
                </c:pt>
                <c:pt idx="627">
                  <c:v>33.611100000000576</c:v>
                </c:pt>
                <c:pt idx="628">
                  <c:v>33.611200000000579</c:v>
                </c:pt>
                <c:pt idx="629">
                  <c:v>33.611300000000583</c:v>
                </c:pt>
                <c:pt idx="630">
                  <c:v>33.611400000000586</c:v>
                </c:pt>
                <c:pt idx="631">
                  <c:v>33.611500000000589</c:v>
                </c:pt>
                <c:pt idx="632">
                  <c:v>33.611600000000593</c:v>
                </c:pt>
                <c:pt idx="633">
                  <c:v>33.611700000000596</c:v>
                </c:pt>
                <c:pt idx="634">
                  <c:v>33.611800000000599</c:v>
                </c:pt>
                <c:pt idx="635">
                  <c:v>33.611900000000603</c:v>
                </c:pt>
                <c:pt idx="636">
                  <c:v>33.612000000000606</c:v>
                </c:pt>
                <c:pt idx="637">
                  <c:v>33.612100000000609</c:v>
                </c:pt>
                <c:pt idx="638">
                  <c:v>33.612200000000612</c:v>
                </c:pt>
                <c:pt idx="639">
                  <c:v>33.612300000000616</c:v>
                </c:pt>
                <c:pt idx="640">
                  <c:v>33.612400000000619</c:v>
                </c:pt>
                <c:pt idx="641">
                  <c:v>33.612500000000622</c:v>
                </c:pt>
                <c:pt idx="642">
                  <c:v>33.612600000000626</c:v>
                </c:pt>
                <c:pt idx="643">
                  <c:v>33.612700000000629</c:v>
                </c:pt>
                <c:pt idx="644">
                  <c:v>33.612800000000632</c:v>
                </c:pt>
                <c:pt idx="645">
                  <c:v>33.612900000000636</c:v>
                </c:pt>
                <c:pt idx="646">
                  <c:v>33.613000000000639</c:v>
                </c:pt>
                <c:pt idx="647">
                  <c:v>33.613100000000642</c:v>
                </c:pt>
                <c:pt idx="648">
                  <c:v>33.613200000000646</c:v>
                </c:pt>
                <c:pt idx="649">
                  <c:v>33.613300000000649</c:v>
                </c:pt>
                <c:pt idx="650">
                  <c:v>33.613400000000652</c:v>
                </c:pt>
                <c:pt idx="651">
                  <c:v>33.613500000000656</c:v>
                </c:pt>
                <c:pt idx="652">
                  <c:v>33.613600000000659</c:v>
                </c:pt>
                <c:pt idx="653">
                  <c:v>33.613700000000662</c:v>
                </c:pt>
                <c:pt idx="654">
                  <c:v>33.613800000000666</c:v>
                </c:pt>
                <c:pt idx="655">
                  <c:v>33.613900000000669</c:v>
                </c:pt>
                <c:pt idx="656">
                  <c:v>33.614000000000672</c:v>
                </c:pt>
                <c:pt idx="657">
                  <c:v>33.614100000000676</c:v>
                </c:pt>
                <c:pt idx="658">
                  <c:v>33.614200000000679</c:v>
                </c:pt>
                <c:pt idx="659">
                  <c:v>33.614300000000682</c:v>
                </c:pt>
                <c:pt idx="660">
                  <c:v>33.614400000000686</c:v>
                </c:pt>
                <c:pt idx="661">
                  <c:v>33.614500000000689</c:v>
                </c:pt>
                <c:pt idx="662">
                  <c:v>33.614600000000692</c:v>
                </c:pt>
                <c:pt idx="663">
                  <c:v>33.614700000000695</c:v>
                </c:pt>
                <c:pt idx="664">
                  <c:v>33.614800000000699</c:v>
                </c:pt>
                <c:pt idx="665">
                  <c:v>33.614900000000702</c:v>
                </c:pt>
                <c:pt idx="666">
                  <c:v>33.615000000000705</c:v>
                </c:pt>
                <c:pt idx="667">
                  <c:v>33.615100000000709</c:v>
                </c:pt>
                <c:pt idx="668">
                  <c:v>33.615200000000712</c:v>
                </c:pt>
                <c:pt idx="669">
                  <c:v>33.615300000000715</c:v>
                </c:pt>
                <c:pt idx="670">
                  <c:v>33.615400000000719</c:v>
                </c:pt>
                <c:pt idx="671">
                  <c:v>33.615500000000722</c:v>
                </c:pt>
                <c:pt idx="672">
                  <c:v>33.615600000000725</c:v>
                </c:pt>
                <c:pt idx="673">
                  <c:v>33.615700000000729</c:v>
                </c:pt>
                <c:pt idx="674">
                  <c:v>33.615800000000732</c:v>
                </c:pt>
                <c:pt idx="675">
                  <c:v>33.615900000000735</c:v>
                </c:pt>
                <c:pt idx="676">
                  <c:v>33.616000000000739</c:v>
                </c:pt>
                <c:pt idx="677">
                  <c:v>33.616100000000742</c:v>
                </c:pt>
                <c:pt idx="678">
                  <c:v>33.616200000000745</c:v>
                </c:pt>
                <c:pt idx="679">
                  <c:v>33.616300000000749</c:v>
                </c:pt>
                <c:pt idx="680">
                  <c:v>33.616400000000752</c:v>
                </c:pt>
                <c:pt idx="681">
                  <c:v>33.616500000000755</c:v>
                </c:pt>
                <c:pt idx="682">
                  <c:v>33.616600000000759</c:v>
                </c:pt>
                <c:pt idx="683">
                  <c:v>33.616700000000762</c:v>
                </c:pt>
                <c:pt idx="684">
                  <c:v>33.616800000000765</c:v>
                </c:pt>
                <c:pt idx="685">
                  <c:v>33.616900000000769</c:v>
                </c:pt>
                <c:pt idx="686">
                  <c:v>33.617000000000772</c:v>
                </c:pt>
                <c:pt idx="687">
                  <c:v>33.617100000000775</c:v>
                </c:pt>
                <c:pt idx="688">
                  <c:v>33.617200000000778</c:v>
                </c:pt>
                <c:pt idx="689">
                  <c:v>33.617300000000782</c:v>
                </c:pt>
                <c:pt idx="690">
                  <c:v>33.617400000000785</c:v>
                </c:pt>
                <c:pt idx="691">
                  <c:v>33.617500000000788</c:v>
                </c:pt>
                <c:pt idx="692">
                  <c:v>33.617600000000792</c:v>
                </c:pt>
                <c:pt idx="693">
                  <c:v>33.617700000000795</c:v>
                </c:pt>
                <c:pt idx="694">
                  <c:v>33.617800000000798</c:v>
                </c:pt>
                <c:pt idx="695">
                  <c:v>33.617900000000802</c:v>
                </c:pt>
                <c:pt idx="696">
                  <c:v>33.618000000000805</c:v>
                </c:pt>
                <c:pt idx="697">
                  <c:v>33.618100000000808</c:v>
                </c:pt>
                <c:pt idx="698">
                  <c:v>33.618200000000812</c:v>
                </c:pt>
                <c:pt idx="699">
                  <c:v>33.618300000000815</c:v>
                </c:pt>
                <c:pt idx="700">
                  <c:v>33.618400000000818</c:v>
                </c:pt>
                <c:pt idx="701">
                  <c:v>33.618500000000822</c:v>
                </c:pt>
                <c:pt idx="702">
                  <c:v>33.618600000000825</c:v>
                </c:pt>
                <c:pt idx="703">
                  <c:v>33.618700000000828</c:v>
                </c:pt>
                <c:pt idx="704">
                  <c:v>33.618800000000832</c:v>
                </c:pt>
                <c:pt idx="705">
                  <c:v>33.618900000000835</c:v>
                </c:pt>
                <c:pt idx="706">
                  <c:v>33.619000000000838</c:v>
                </c:pt>
                <c:pt idx="707">
                  <c:v>33.619100000000842</c:v>
                </c:pt>
                <c:pt idx="708">
                  <c:v>33.619200000000845</c:v>
                </c:pt>
                <c:pt idx="709">
                  <c:v>33.619300000000848</c:v>
                </c:pt>
                <c:pt idx="710">
                  <c:v>33.619400000000851</c:v>
                </c:pt>
                <c:pt idx="711">
                  <c:v>33.619500000000855</c:v>
                </c:pt>
                <c:pt idx="712">
                  <c:v>33.619600000000858</c:v>
                </c:pt>
                <c:pt idx="713">
                  <c:v>33.619700000000861</c:v>
                </c:pt>
                <c:pt idx="714">
                  <c:v>33.619800000000865</c:v>
                </c:pt>
                <c:pt idx="715">
                  <c:v>33.619900000000868</c:v>
                </c:pt>
                <c:pt idx="716">
                  <c:v>33.620000000000871</c:v>
                </c:pt>
                <c:pt idx="717">
                  <c:v>33.620100000000875</c:v>
                </c:pt>
                <c:pt idx="718">
                  <c:v>33.620200000000878</c:v>
                </c:pt>
                <c:pt idx="719">
                  <c:v>33.620300000000881</c:v>
                </c:pt>
                <c:pt idx="720">
                  <c:v>33.620400000000885</c:v>
                </c:pt>
                <c:pt idx="721">
                  <c:v>33.620500000000888</c:v>
                </c:pt>
                <c:pt idx="722">
                  <c:v>33.620600000000891</c:v>
                </c:pt>
                <c:pt idx="723">
                  <c:v>33.620700000000895</c:v>
                </c:pt>
                <c:pt idx="724">
                  <c:v>33.620800000000898</c:v>
                </c:pt>
                <c:pt idx="725">
                  <c:v>33.620900000000901</c:v>
                </c:pt>
                <c:pt idx="726">
                  <c:v>33.621000000000905</c:v>
                </c:pt>
                <c:pt idx="727">
                  <c:v>33.621100000000908</c:v>
                </c:pt>
                <c:pt idx="728">
                  <c:v>33.621200000000911</c:v>
                </c:pt>
                <c:pt idx="729">
                  <c:v>33.621300000000915</c:v>
                </c:pt>
                <c:pt idx="730">
                  <c:v>33.621400000000918</c:v>
                </c:pt>
                <c:pt idx="731">
                  <c:v>33.621500000000921</c:v>
                </c:pt>
                <c:pt idx="732">
                  <c:v>33.621600000000925</c:v>
                </c:pt>
                <c:pt idx="733">
                  <c:v>33.621700000000928</c:v>
                </c:pt>
                <c:pt idx="734">
                  <c:v>33.621800000000931</c:v>
                </c:pt>
                <c:pt idx="735">
                  <c:v>33.621900000000934</c:v>
                </c:pt>
                <c:pt idx="736">
                  <c:v>33.622000000000938</c:v>
                </c:pt>
                <c:pt idx="737">
                  <c:v>33.622100000000941</c:v>
                </c:pt>
                <c:pt idx="738">
                  <c:v>33.622200000000944</c:v>
                </c:pt>
                <c:pt idx="739">
                  <c:v>33.622300000000948</c:v>
                </c:pt>
                <c:pt idx="740">
                  <c:v>33.622400000000951</c:v>
                </c:pt>
                <c:pt idx="741">
                  <c:v>33.622500000000954</c:v>
                </c:pt>
                <c:pt idx="742">
                  <c:v>33.622600000000958</c:v>
                </c:pt>
                <c:pt idx="743">
                  <c:v>33.622700000000961</c:v>
                </c:pt>
                <c:pt idx="744">
                  <c:v>33.622800000000964</c:v>
                </c:pt>
                <c:pt idx="745">
                  <c:v>33.622900000000968</c:v>
                </c:pt>
                <c:pt idx="746">
                  <c:v>33.623000000000971</c:v>
                </c:pt>
                <c:pt idx="747">
                  <c:v>33.623100000000974</c:v>
                </c:pt>
                <c:pt idx="748">
                  <c:v>33.623200000000978</c:v>
                </c:pt>
                <c:pt idx="749">
                  <c:v>33.623300000000981</c:v>
                </c:pt>
                <c:pt idx="750">
                  <c:v>33.623400000000984</c:v>
                </c:pt>
                <c:pt idx="751">
                  <c:v>33.623500000000988</c:v>
                </c:pt>
                <c:pt idx="752">
                  <c:v>33.623600000000991</c:v>
                </c:pt>
                <c:pt idx="753">
                  <c:v>33.623700000000994</c:v>
                </c:pt>
                <c:pt idx="754">
                  <c:v>33.623800000000998</c:v>
                </c:pt>
                <c:pt idx="755">
                  <c:v>33.623900000001001</c:v>
                </c:pt>
                <c:pt idx="756">
                  <c:v>33.624000000001004</c:v>
                </c:pt>
                <c:pt idx="757">
                  <c:v>33.624100000001008</c:v>
                </c:pt>
                <c:pt idx="758">
                  <c:v>33.624200000001011</c:v>
                </c:pt>
                <c:pt idx="759">
                  <c:v>33.624300000001014</c:v>
                </c:pt>
                <c:pt idx="760">
                  <c:v>33.624400000001017</c:v>
                </c:pt>
                <c:pt idx="761">
                  <c:v>33.624500000001021</c:v>
                </c:pt>
                <c:pt idx="762">
                  <c:v>33.624600000001024</c:v>
                </c:pt>
                <c:pt idx="763">
                  <c:v>33.624700000001027</c:v>
                </c:pt>
                <c:pt idx="764">
                  <c:v>33.624800000001031</c:v>
                </c:pt>
                <c:pt idx="765">
                  <c:v>33.624900000001034</c:v>
                </c:pt>
                <c:pt idx="766">
                  <c:v>33.625000000001037</c:v>
                </c:pt>
                <c:pt idx="767">
                  <c:v>33.625100000001041</c:v>
                </c:pt>
                <c:pt idx="768">
                  <c:v>33.625200000001044</c:v>
                </c:pt>
                <c:pt idx="769">
                  <c:v>33.625300000001047</c:v>
                </c:pt>
                <c:pt idx="770">
                  <c:v>33.625400000001051</c:v>
                </c:pt>
                <c:pt idx="771">
                  <c:v>33.625500000001054</c:v>
                </c:pt>
                <c:pt idx="772">
                  <c:v>33.625600000001057</c:v>
                </c:pt>
                <c:pt idx="773">
                  <c:v>33.625700000001061</c:v>
                </c:pt>
                <c:pt idx="774">
                  <c:v>33.625800000001064</c:v>
                </c:pt>
                <c:pt idx="775">
                  <c:v>33.625900000001067</c:v>
                </c:pt>
                <c:pt idx="776">
                  <c:v>33.626000000001071</c:v>
                </c:pt>
                <c:pt idx="777">
                  <c:v>33.626100000001074</c:v>
                </c:pt>
                <c:pt idx="778">
                  <c:v>33.626200000001077</c:v>
                </c:pt>
                <c:pt idx="779">
                  <c:v>33.626300000001081</c:v>
                </c:pt>
                <c:pt idx="780">
                  <c:v>33.626400000001084</c:v>
                </c:pt>
                <c:pt idx="781">
                  <c:v>33.626500000001087</c:v>
                </c:pt>
                <c:pt idx="782">
                  <c:v>33.626600000001091</c:v>
                </c:pt>
                <c:pt idx="783">
                  <c:v>33.626700000001094</c:v>
                </c:pt>
                <c:pt idx="784">
                  <c:v>33.626800000001097</c:v>
                </c:pt>
                <c:pt idx="785">
                  <c:v>33.6269000000011</c:v>
                </c:pt>
                <c:pt idx="786">
                  <c:v>33.627000000001104</c:v>
                </c:pt>
                <c:pt idx="787">
                  <c:v>33.627100000001107</c:v>
                </c:pt>
                <c:pt idx="788">
                  <c:v>33.62720000000111</c:v>
                </c:pt>
                <c:pt idx="789">
                  <c:v>33.627300000001114</c:v>
                </c:pt>
                <c:pt idx="790">
                  <c:v>33.627400000001117</c:v>
                </c:pt>
                <c:pt idx="791">
                  <c:v>33.62750000000112</c:v>
                </c:pt>
                <c:pt idx="792">
                  <c:v>33.627600000001124</c:v>
                </c:pt>
                <c:pt idx="793">
                  <c:v>33.627700000001127</c:v>
                </c:pt>
                <c:pt idx="794">
                  <c:v>33.62780000000113</c:v>
                </c:pt>
                <c:pt idx="795">
                  <c:v>33.627900000001134</c:v>
                </c:pt>
                <c:pt idx="796">
                  <c:v>33.628000000001137</c:v>
                </c:pt>
                <c:pt idx="797">
                  <c:v>33.62810000000114</c:v>
                </c:pt>
                <c:pt idx="798">
                  <c:v>33.628200000001144</c:v>
                </c:pt>
                <c:pt idx="799">
                  <c:v>33.628300000001147</c:v>
                </c:pt>
                <c:pt idx="800">
                  <c:v>33.62840000000115</c:v>
                </c:pt>
                <c:pt idx="801">
                  <c:v>33.628500000001154</c:v>
                </c:pt>
                <c:pt idx="802">
                  <c:v>33.628600000001157</c:v>
                </c:pt>
                <c:pt idx="803">
                  <c:v>33.62870000000116</c:v>
                </c:pt>
                <c:pt idx="804">
                  <c:v>33.628800000001164</c:v>
                </c:pt>
                <c:pt idx="805">
                  <c:v>33.628900000001167</c:v>
                </c:pt>
                <c:pt idx="806">
                  <c:v>33.62900000000117</c:v>
                </c:pt>
                <c:pt idx="807">
                  <c:v>33.629100000001173</c:v>
                </c:pt>
                <c:pt idx="808">
                  <c:v>33.629200000001177</c:v>
                </c:pt>
                <c:pt idx="809">
                  <c:v>33.62930000000118</c:v>
                </c:pt>
                <c:pt idx="810">
                  <c:v>33.629400000001183</c:v>
                </c:pt>
                <c:pt idx="811">
                  <c:v>33.629500000001187</c:v>
                </c:pt>
                <c:pt idx="812">
                  <c:v>33.62960000000119</c:v>
                </c:pt>
                <c:pt idx="813">
                  <c:v>33.629700000001193</c:v>
                </c:pt>
                <c:pt idx="814">
                  <c:v>33.629800000001197</c:v>
                </c:pt>
                <c:pt idx="815">
                  <c:v>33.6299000000012</c:v>
                </c:pt>
                <c:pt idx="816">
                  <c:v>33.630000000001203</c:v>
                </c:pt>
                <c:pt idx="817">
                  <c:v>33.630100000001207</c:v>
                </c:pt>
                <c:pt idx="818">
                  <c:v>33.63020000000121</c:v>
                </c:pt>
                <c:pt idx="819">
                  <c:v>33.630300000001213</c:v>
                </c:pt>
                <c:pt idx="820">
                  <c:v>33.630400000001217</c:v>
                </c:pt>
                <c:pt idx="821">
                  <c:v>33.63050000000122</c:v>
                </c:pt>
                <c:pt idx="822">
                  <c:v>33.630600000001223</c:v>
                </c:pt>
                <c:pt idx="823">
                  <c:v>33.630700000001227</c:v>
                </c:pt>
                <c:pt idx="824">
                  <c:v>33.63080000000123</c:v>
                </c:pt>
                <c:pt idx="825">
                  <c:v>33.630900000001233</c:v>
                </c:pt>
                <c:pt idx="826">
                  <c:v>33.631000000001237</c:v>
                </c:pt>
                <c:pt idx="827">
                  <c:v>33.63110000000124</c:v>
                </c:pt>
                <c:pt idx="828">
                  <c:v>33.631200000001243</c:v>
                </c:pt>
                <c:pt idx="829">
                  <c:v>33.631300000001247</c:v>
                </c:pt>
                <c:pt idx="830">
                  <c:v>33.63140000000125</c:v>
                </c:pt>
                <c:pt idx="831">
                  <c:v>33.631500000001253</c:v>
                </c:pt>
                <c:pt idx="832">
                  <c:v>33.631600000001256</c:v>
                </c:pt>
                <c:pt idx="833">
                  <c:v>33.63170000000126</c:v>
                </c:pt>
                <c:pt idx="834">
                  <c:v>33.631800000001263</c:v>
                </c:pt>
                <c:pt idx="835">
                  <c:v>33.631900000001266</c:v>
                </c:pt>
                <c:pt idx="836">
                  <c:v>33.63200000000127</c:v>
                </c:pt>
                <c:pt idx="837">
                  <c:v>33.632100000001273</c:v>
                </c:pt>
                <c:pt idx="838">
                  <c:v>33.632200000001276</c:v>
                </c:pt>
                <c:pt idx="839">
                  <c:v>33.63230000000128</c:v>
                </c:pt>
                <c:pt idx="840">
                  <c:v>33.632400000001283</c:v>
                </c:pt>
                <c:pt idx="841">
                  <c:v>33.632500000001286</c:v>
                </c:pt>
                <c:pt idx="842">
                  <c:v>33.63260000000129</c:v>
                </c:pt>
                <c:pt idx="843">
                  <c:v>33.632700000001293</c:v>
                </c:pt>
                <c:pt idx="844">
                  <c:v>33.632800000001296</c:v>
                </c:pt>
                <c:pt idx="845">
                  <c:v>33.6329000000013</c:v>
                </c:pt>
                <c:pt idx="846">
                  <c:v>33.633000000001303</c:v>
                </c:pt>
                <c:pt idx="847">
                  <c:v>33.633100000001306</c:v>
                </c:pt>
                <c:pt idx="848">
                  <c:v>33.63320000000131</c:v>
                </c:pt>
                <c:pt idx="849">
                  <c:v>33.633300000001313</c:v>
                </c:pt>
                <c:pt idx="850">
                  <c:v>33.633400000001316</c:v>
                </c:pt>
                <c:pt idx="851">
                  <c:v>33.63350000000132</c:v>
                </c:pt>
                <c:pt idx="852">
                  <c:v>33.633600000001323</c:v>
                </c:pt>
                <c:pt idx="853">
                  <c:v>33.633700000001326</c:v>
                </c:pt>
                <c:pt idx="854">
                  <c:v>33.63380000000133</c:v>
                </c:pt>
                <c:pt idx="855">
                  <c:v>33.633900000001333</c:v>
                </c:pt>
                <c:pt idx="856">
                  <c:v>33.634000000001336</c:v>
                </c:pt>
                <c:pt idx="857">
                  <c:v>33.634100000001339</c:v>
                </c:pt>
                <c:pt idx="858">
                  <c:v>33.634200000001343</c:v>
                </c:pt>
                <c:pt idx="859">
                  <c:v>33.634300000001346</c:v>
                </c:pt>
                <c:pt idx="860">
                  <c:v>33.634400000001349</c:v>
                </c:pt>
                <c:pt idx="861">
                  <c:v>33.634500000001353</c:v>
                </c:pt>
                <c:pt idx="862">
                  <c:v>33.634600000001356</c:v>
                </c:pt>
                <c:pt idx="863">
                  <c:v>33.634700000001359</c:v>
                </c:pt>
                <c:pt idx="864">
                  <c:v>33.634800000001363</c:v>
                </c:pt>
                <c:pt idx="865">
                  <c:v>33.634900000001366</c:v>
                </c:pt>
                <c:pt idx="866">
                  <c:v>33.635000000001369</c:v>
                </c:pt>
                <c:pt idx="867">
                  <c:v>33.635100000001373</c:v>
                </c:pt>
                <c:pt idx="868">
                  <c:v>33.635200000001376</c:v>
                </c:pt>
                <c:pt idx="869">
                  <c:v>33.635300000001379</c:v>
                </c:pt>
                <c:pt idx="870">
                  <c:v>33.635400000001383</c:v>
                </c:pt>
                <c:pt idx="871">
                  <c:v>33.635500000001386</c:v>
                </c:pt>
                <c:pt idx="872">
                  <c:v>33.635600000001389</c:v>
                </c:pt>
                <c:pt idx="873">
                  <c:v>33.635700000001393</c:v>
                </c:pt>
                <c:pt idx="874">
                  <c:v>33.635800000001396</c:v>
                </c:pt>
                <c:pt idx="875">
                  <c:v>33.635900000001399</c:v>
                </c:pt>
                <c:pt idx="876">
                  <c:v>33.636000000001403</c:v>
                </c:pt>
                <c:pt idx="877">
                  <c:v>33.636100000001406</c:v>
                </c:pt>
                <c:pt idx="878">
                  <c:v>33.636200000001409</c:v>
                </c:pt>
                <c:pt idx="879">
                  <c:v>33.636300000001413</c:v>
                </c:pt>
                <c:pt idx="880">
                  <c:v>33.636400000001416</c:v>
                </c:pt>
                <c:pt idx="881">
                  <c:v>33.636500000001419</c:v>
                </c:pt>
                <c:pt idx="882">
                  <c:v>33.636600000001422</c:v>
                </c:pt>
                <c:pt idx="883">
                  <c:v>33.636700000001426</c:v>
                </c:pt>
                <c:pt idx="884">
                  <c:v>33.636800000001429</c:v>
                </c:pt>
                <c:pt idx="885">
                  <c:v>33.636900000001432</c:v>
                </c:pt>
                <c:pt idx="886">
                  <c:v>33.637000000001436</c:v>
                </c:pt>
                <c:pt idx="887">
                  <c:v>33.637100000001439</c:v>
                </c:pt>
                <c:pt idx="888">
                  <c:v>33.637200000001442</c:v>
                </c:pt>
                <c:pt idx="889">
                  <c:v>33.637300000001446</c:v>
                </c:pt>
                <c:pt idx="890">
                  <c:v>33.637400000001449</c:v>
                </c:pt>
                <c:pt idx="891">
                  <c:v>33.637500000001452</c:v>
                </c:pt>
                <c:pt idx="892">
                  <c:v>33.637600000001456</c:v>
                </c:pt>
                <c:pt idx="893">
                  <c:v>33.637700000001459</c:v>
                </c:pt>
                <c:pt idx="894">
                  <c:v>33.637800000001462</c:v>
                </c:pt>
                <c:pt idx="895">
                  <c:v>33.637900000001466</c:v>
                </c:pt>
                <c:pt idx="896">
                  <c:v>33.638000000001469</c:v>
                </c:pt>
                <c:pt idx="897">
                  <c:v>33.638100000001472</c:v>
                </c:pt>
                <c:pt idx="898">
                  <c:v>33.638200000001476</c:v>
                </c:pt>
                <c:pt idx="899">
                  <c:v>33.638300000001479</c:v>
                </c:pt>
                <c:pt idx="900">
                  <c:v>33.638400000001482</c:v>
                </c:pt>
                <c:pt idx="901">
                  <c:v>33.638500000001486</c:v>
                </c:pt>
                <c:pt idx="902">
                  <c:v>33.638600000001489</c:v>
                </c:pt>
                <c:pt idx="903">
                  <c:v>33.638700000001492</c:v>
                </c:pt>
                <c:pt idx="904">
                  <c:v>33.638800000001496</c:v>
                </c:pt>
                <c:pt idx="905">
                  <c:v>33.638900000001499</c:v>
                </c:pt>
                <c:pt idx="906">
                  <c:v>33.639000000001502</c:v>
                </c:pt>
                <c:pt idx="907">
                  <c:v>33.639100000001505</c:v>
                </c:pt>
                <c:pt idx="908">
                  <c:v>33.639200000001509</c:v>
                </c:pt>
                <c:pt idx="909">
                  <c:v>33.639300000001512</c:v>
                </c:pt>
                <c:pt idx="910">
                  <c:v>33.639400000001515</c:v>
                </c:pt>
                <c:pt idx="911">
                  <c:v>33.639500000001519</c:v>
                </c:pt>
                <c:pt idx="912">
                  <c:v>33.639600000001522</c:v>
                </c:pt>
                <c:pt idx="913">
                  <c:v>33.639700000001525</c:v>
                </c:pt>
                <c:pt idx="914">
                  <c:v>33.639800000001529</c:v>
                </c:pt>
                <c:pt idx="915">
                  <c:v>33.639900000001532</c:v>
                </c:pt>
                <c:pt idx="916">
                  <c:v>33.640000000001535</c:v>
                </c:pt>
                <c:pt idx="917">
                  <c:v>33.640100000001539</c:v>
                </c:pt>
                <c:pt idx="918">
                  <c:v>33.640200000001542</c:v>
                </c:pt>
                <c:pt idx="919">
                  <c:v>33.640300000001545</c:v>
                </c:pt>
                <c:pt idx="920">
                  <c:v>33.640400000001549</c:v>
                </c:pt>
                <c:pt idx="921">
                  <c:v>33.640500000001552</c:v>
                </c:pt>
                <c:pt idx="922">
                  <c:v>33.640600000001555</c:v>
                </c:pt>
                <c:pt idx="923">
                  <c:v>33.640700000001559</c:v>
                </c:pt>
                <c:pt idx="924">
                  <c:v>33.640800000001562</c:v>
                </c:pt>
                <c:pt idx="925">
                  <c:v>33.640900000001565</c:v>
                </c:pt>
                <c:pt idx="926">
                  <c:v>33.641000000001569</c:v>
                </c:pt>
                <c:pt idx="927">
                  <c:v>33.641100000001572</c:v>
                </c:pt>
                <c:pt idx="928">
                  <c:v>33.641200000001575</c:v>
                </c:pt>
                <c:pt idx="929">
                  <c:v>33.641300000001578</c:v>
                </c:pt>
                <c:pt idx="930">
                  <c:v>33.641400000001582</c:v>
                </c:pt>
                <c:pt idx="931">
                  <c:v>33.641500000001585</c:v>
                </c:pt>
                <c:pt idx="932">
                  <c:v>33.641600000001588</c:v>
                </c:pt>
                <c:pt idx="933">
                  <c:v>33.641700000001592</c:v>
                </c:pt>
                <c:pt idx="934">
                  <c:v>33.641800000001595</c:v>
                </c:pt>
                <c:pt idx="935">
                  <c:v>33.641900000001598</c:v>
                </c:pt>
                <c:pt idx="936">
                  <c:v>33.642000000001602</c:v>
                </c:pt>
                <c:pt idx="937">
                  <c:v>33.642100000001605</c:v>
                </c:pt>
                <c:pt idx="938">
                  <c:v>33.642200000001608</c:v>
                </c:pt>
                <c:pt idx="939">
                  <c:v>33.642300000001612</c:v>
                </c:pt>
                <c:pt idx="940">
                  <c:v>33.642400000001615</c:v>
                </c:pt>
                <c:pt idx="941">
                  <c:v>33.642500000001618</c:v>
                </c:pt>
                <c:pt idx="942">
                  <c:v>33.642600000001622</c:v>
                </c:pt>
                <c:pt idx="943">
                  <c:v>33.642700000001625</c:v>
                </c:pt>
                <c:pt idx="944">
                  <c:v>33.642800000001628</c:v>
                </c:pt>
                <c:pt idx="945">
                  <c:v>33.642900000001632</c:v>
                </c:pt>
                <c:pt idx="946">
                  <c:v>33.643000000001635</c:v>
                </c:pt>
                <c:pt idx="947">
                  <c:v>33.643100000001638</c:v>
                </c:pt>
                <c:pt idx="948">
                  <c:v>33.643200000001642</c:v>
                </c:pt>
                <c:pt idx="949">
                  <c:v>33.643300000001645</c:v>
                </c:pt>
                <c:pt idx="950">
                  <c:v>33.643400000001648</c:v>
                </c:pt>
                <c:pt idx="951">
                  <c:v>33.643500000001652</c:v>
                </c:pt>
                <c:pt idx="952">
                  <c:v>33.643600000001655</c:v>
                </c:pt>
                <c:pt idx="953">
                  <c:v>33.643700000001658</c:v>
                </c:pt>
                <c:pt idx="954">
                  <c:v>33.643800000001661</c:v>
                </c:pt>
                <c:pt idx="955">
                  <c:v>33.643900000001665</c:v>
                </c:pt>
                <c:pt idx="956">
                  <c:v>33.644000000001668</c:v>
                </c:pt>
                <c:pt idx="957">
                  <c:v>33.644100000001671</c:v>
                </c:pt>
                <c:pt idx="958">
                  <c:v>33.644200000001675</c:v>
                </c:pt>
                <c:pt idx="959">
                  <c:v>33.644300000001678</c:v>
                </c:pt>
                <c:pt idx="960">
                  <c:v>33.644400000001681</c:v>
                </c:pt>
                <c:pt idx="961">
                  <c:v>33.644500000001685</c:v>
                </c:pt>
                <c:pt idx="962">
                  <c:v>33.644600000001688</c:v>
                </c:pt>
                <c:pt idx="963">
                  <c:v>33.644700000001691</c:v>
                </c:pt>
                <c:pt idx="964">
                  <c:v>33.644800000001695</c:v>
                </c:pt>
                <c:pt idx="965">
                  <c:v>33.644900000001698</c:v>
                </c:pt>
                <c:pt idx="966">
                  <c:v>33.645000000001701</c:v>
                </c:pt>
                <c:pt idx="967">
                  <c:v>33.645100000001705</c:v>
                </c:pt>
                <c:pt idx="968">
                  <c:v>33.645200000001708</c:v>
                </c:pt>
                <c:pt idx="969">
                  <c:v>33.645300000001711</c:v>
                </c:pt>
                <c:pt idx="970">
                  <c:v>33.645400000001715</c:v>
                </c:pt>
                <c:pt idx="971">
                  <c:v>33.645500000001718</c:v>
                </c:pt>
                <c:pt idx="972">
                  <c:v>33.645600000001721</c:v>
                </c:pt>
                <c:pt idx="973">
                  <c:v>33.645700000001725</c:v>
                </c:pt>
                <c:pt idx="974">
                  <c:v>33.645800000001728</c:v>
                </c:pt>
                <c:pt idx="975">
                  <c:v>33.645900000001731</c:v>
                </c:pt>
                <c:pt idx="976">
                  <c:v>33.646000000001735</c:v>
                </c:pt>
                <c:pt idx="977">
                  <c:v>33.646100000001738</c:v>
                </c:pt>
                <c:pt idx="978">
                  <c:v>33.646200000001741</c:v>
                </c:pt>
                <c:pt idx="979">
                  <c:v>33.646300000001744</c:v>
                </c:pt>
                <c:pt idx="980">
                  <c:v>33.646400000001748</c:v>
                </c:pt>
                <c:pt idx="981">
                  <c:v>33.646500000001751</c:v>
                </c:pt>
                <c:pt idx="982">
                  <c:v>33.646600000001754</c:v>
                </c:pt>
                <c:pt idx="983">
                  <c:v>33.646700000001758</c:v>
                </c:pt>
                <c:pt idx="984">
                  <c:v>33.646800000001761</c:v>
                </c:pt>
                <c:pt idx="985">
                  <c:v>33.646900000001764</c:v>
                </c:pt>
                <c:pt idx="986">
                  <c:v>33.647000000001768</c:v>
                </c:pt>
                <c:pt idx="987">
                  <c:v>33.647100000001771</c:v>
                </c:pt>
                <c:pt idx="988">
                  <c:v>33.647200000001774</c:v>
                </c:pt>
                <c:pt idx="989">
                  <c:v>33.647300000001778</c:v>
                </c:pt>
                <c:pt idx="990">
                  <c:v>33.647400000001781</c:v>
                </c:pt>
                <c:pt idx="991">
                  <c:v>33.647500000001784</c:v>
                </c:pt>
                <c:pt idx="992">
                  <c:v>33.647600000001788</c:v>
                </c:pt>
                <c:pt idx="993">
                  <c:v>33.647700000001791</c:v>
                </c:pt>
                <c:pt idx="994">
                  <c:v>33.647800000001794</c:v>
                </c:pt>
                <c:pt idx="995">
                  <c:v>33.647900000001798</c:v>
                </c:pt>
                <c:pt idx="996">
                  <c:v>33.648000000001801</c:v>
                </c:pt>
                <c:pt idx="997">
                  <c:v>33.648100000001804</c:v>
                </c:pt>
                <c:pt idx="998">
                  <c:v>33.648200000001808</c:v>
                </c:pt>
                <c:pt idx="999">
                  <c:v>33.648300000001811</c:v>
                </c:pt>
                <c:pt idx="1000">
                  <c:v>33.648400000001814</c:v>
                </c:pt>
              </c:numCache>
            </c:numRef>
          </c:xVal>
          <c:yVal>
            <c:numRef>
              <c:f>Calculs!$Q$4:$Q$1004</c:f>
              <c:numCache>
                <c:formatCode>0.00</c:formatCode>
                <c:ptCount val="1001"/>
                <c:pt idx="0">
                  <c:v>0</c:v>
                </c:pt>
                <c:pt idx="1">
                  <c:v>246.125</c:v>
                </c:pt>
                <c:pt idx="2">
                  <c:v>930.85500000000002</c:v>
                </c:pt>
                <c:pt idx="3">
                  <c:v>1347.2183333333335</c:v>
                </c:pt>
                <c:pt idx="4">
                  <c:v>1302.7349999999999</c:v>
                </c:pt>
                <c:pt idx="5">
                  <c:v>1258.2516666666666</c:v>
                </c:pt>
                <c:pt idx="6">
                  <c:v>1240.356</c:v>
                </c:pt>
                <c:pt idx="7">
                  <c:v>1249.048</c:v>
                </c:pt>
                <c:pt idx="8">
                  <c:v>1257.74</c:v>
                </c:pt>
                <c:pt idx="9">
                  <c:v>1266.432</c:v>
                </c:pt>
                <c:pt idx="10">
                  <c:v>1275.124</c:v>
                </c:pt>
                <c:pt idx="11">
                  <c:v>1281.066</c:v>
                </c:pt>
                <c:pt idx="12">
                  <c:v>1284.258</c:v>
                </c:pt>
                <c:pt idx="13">
                  <c:v>1287.45</c:v>
                </c:pt>
                <c:pt idx="14">
                  <c:v>1290.6420000000001</c:v>
                </c:pt>
                <c:pt idx="15">
                  <c:v>1293.8340000000001</c:v>
                </c:pt>
                <c:pt idx="16">
                  <c:v>1297.0260000000001</c:v>
                </c:pt>
                <c:pt idx="17">
                  <c:v>1300.2180000000001</c:v>
                </c:pt>
                <c:pt idx="18">
                  <c:v>1303.4100000000001</c:v>
                </c:pt>
                <c:pt idx="19">
                  <c:v>1306.6020000000001</c:v>
                </c:pt>
                <c:pt idx="20">
                  <c:v>1309.7940000000001</c:v>
                </c:pt>
                <c:pt idx="21">
                  <c:v>1311.89</c:v>
                </c:pt>
                <c:pt idx="22">
                  <c:v>1312.89</c:v>
                </c:pt>
                <c:pt idx="23">
                  <c:v>1313.89</c:v>
                </c:pt>
                <c:pt idx="24">
                  <c:v>1314.89</c:v>
                </c:pt>
                <c:pt idx="25">
                  <c:v>1315.89</c:v>
                </c:pt>
                <c:pt idx="26">
                  <c:v>1316.89</c:v>
                </c:pt>
                <c:pt idx="27">
                  <c:v>1317.89</c:v>
                </c:pt>
                <c:pt idx="28">
                  <c:v>1318.89</c:v>
                </c:pt>
                <c:pt idx="29">
                  <c:v>1319.89</c:v>
                </c:pt>
                <c:pt idx="30">
                  <c:v>1320.89</c:v>
                </c:pt>
                <c:pt idx="31">
                  <c:v>1321.89</c:v>
                </c:pt>
                <c:pt idx="32">
                  <c:v>1322.89</c:v>
                </c:pt>
                <c:pt idx="33">
                  <c:v>1323.89</c:v>
                </c:pt>
                <c:pt idx="34">
                  <c:v>1324.89</c:v>
                </c:pt>
                <c:pt idx="35">
                  <c:v>1325.89</c:v>
                </c:pt>
                <c:pt idx="36">
                  <c:v>1326.89</c:v>
                </c:pt>
                <c:pt idx="37">
                  <c:v>1327.89</c:v>
                </c:pt>
                <c:pt idx="38">
                  <c:v>1328.89</c:v>
                </c:pt>
                <c:pt idx="39">
                  <c:v>1329.89</c:v>
                </c:pt>
                <c:pt idx="40">
                  <c:v>1330.89</c:v>
                </c:pt>
                <c:pt idx="41">
                  <c:v>1331.0486250000001</c:v>
                </c:pt>
                <c:pt idx="42">
                  <c:v>1330.3658750000002</c:v>
                </c:pt>
                <c:pt idx="43">
                  <c:v>1329.683125</c:v>
                </c:pt>
                <c:pt idx="44">
                  <c:v>1329.0003750000001</c:v>
                </c:pt>
                <c:pt idx="45">
                  <c:v>1328.3176250000001</c:v>
                </c:pt>
                <c:pt idx="46">
                  <c:v>1327.634875</c:v>
                </c:pt>
                <c:pt idx="47">
                  <c:v>1326.952125</c:v>
                </c:pt>
                <c:pt idx="48">
                  <c:v>1326.2693750000001</c:v>
                </c:pt>
                <c:pt idx="49">
                  <c:v>1325.5866250000001</c:v>
                </c:pt>
                <c:pt idx="50">
                  <c:v>1324.903875</c:v>
                </c:pt>
                <c:pt idx="51">
                  <c:v>1324.221125</c:v>
                </c:pt>
                <c:pt idx="52">
                  <c:v>1323.5383750000001</c:v>
                </c:pt>
                <c:pt idx="53">
                  <c:v>1322.8556249999999</c:v>
                </c:pt>
                <c:pt idx="54">
                  <c:v>1322.172875</c:v>
                </c:pt>
                <c:pt idx="55">
                  <c:v>1321.490125</c:v>
                </c:pt>
                <c:pt idx="56">
                  <c:v>1320.8073750000001</c:v>
                </c:pt>
                <c:pt idx="57">
                  <c:v>1320.1246249999999</c:v>
                </c:pt>
                <c:pt idx="58">
                  <c:v>1319.441875</c:v>
                </c:pt>
                <c:pt idx="59">
                  <c:v>1318.759125</c:v>
                </c:pt>
                <c:pt idx="60">
                  <c:v>1318.0763750000001</c:v>
                </c:pt>
                <c:pt idx="61">
                  <c:v>1317.3936249999999</c:v>
                </c:pt>
                <c:pt idx="62">
                  <c:v>1316.710875</c:v>
                </c:pt>
                <c:pt idx="63">
                  <c:v>1316.028125</c:v>
                </c:pt>
                <c:pt idx="64">
                  <c:v>1315.3453749999999</c:v>
                </c:pt>
                <c:pt idx="65">
                  <c:v>1314.6626249999999</c:v>
                </c:pt>
                <c:pt idx="66">
                  <c:v>1313.979875</c:v>
                </c:pt>
                <c:pt idx="67">
                  <c:v>1313.2971250000001</c:v>
                </c:pt>
                <c:pt idx="68">
                  <c:v>1312.6143749999999</c:v>
                </c:pt>
                <c:pt idx="69">
                  <c:v>1311.9316249999999</c:v>
                </c:pt>
                <c:pt idx="70">
                  <c:v>1311.248875</c:v>
                </c:pt>
                <c:pt idx="71">
                  <c:v>1310.5661249999998</c:v>
                </c:pt>
                <c:pt idx="72">
                  <c:v>1309.8833749999999</c:v>
                </c:pt>
                <c:pt idx="73">
                  <c:v>1309.2006249999999</c:v>
                </c:pt>
                <c:pt idx="74">
                  <c:v>1308.517875</c:v>
                </c:pt>
                <c:pt idx="75">
                  <c:v>1307.8351249999998</c:v>
                </c:pt>
                <c:pt idx="76">
                  <c:v>1307.1523749999999</c:v>
                </c:pt>
                <c:pt idx="77">
                  <c:v>1306.469625</c:v>
                </c:pt>
                <c:pt idx="78">
                  <c:v>1305.786875</c:v>
                </c:pt>
                <c:pt idx="79">
                  <c:v>1305.1041249999998</c:v>
                </c:pt>
                <c:pt idx="80">
                  <c:v>1304.4213749999999</c:v>
                </c:pt>
                <c:pt idx="81">
                  <c:v>1302.9069999999999</c:v>
                </c:pt>
                <c:pt idx="82">
                  <c:v>1300.5609999999999</c:v>
                </c:pt>
                <c:pt idx="83">
                  <c:v>1298.2149999999999</c:v>
                </c:pt>
                <c:pt idx="84">
                  <c:v>1295.8689999999997</c:v>
                </c:pt>
                <c:pt idx="85">
                  <c:v>1293.5229999999997</c:v>
                </c:pt>
                <c:pt idx="86">
                  <c:v>1291.1769999999997</c:v>
                </c:pt>
                <c:pt idx="87">
                  <c:v>1288.8309999999997</c:v>
                </c:pt>
                <c:pt idx="88">
                  <c:v>1286.4849999999997</c:v>
                </c:pt>
                <c:pt idx="89">
                  <c:v>1284.1389999999997</c:v>
                </c:pt>
                <c:pt idx="90">
                  <c:v>1281.7929999999997</c:v>
                </c:pt>
                <c:pt idx="91">
                  <c:v>1279.0819999999997</c:v>
                </c:pt>
                <c:pt idx="92">
                  <c:v>1276.0059999999996</c:v>
                </c:pt>
                <c:pt idx="93">
                  <c:v>1272.9299999999996</c:v>
                </c:pt>
                <c:pt idx="94">
                  <c:v>1269.8539999999998</c:v>
                </c:pt>
                <c:pt idx="95">
                  <c:v>1266.7779999999998</c:v>
                </c:pt>
                <c:pt idx="96">
                  <c:v>1263.7019999999998</c:v>
                </c:pt>
                <c:pt idx="97">
                  <c:v>1260.6259999999997</c:v>
                </c:pt>
                <c:pt idx="98">
                  <c:v>1257.5499999999997</c:v>
                </c:pt>
                <c:pt idx="99">
                  <c:v>1254.4739999999997</c:v>
                </c:pt>
                <c:pt idx="100">
                  <c:v>1251.3979999999997</c:v>
                </c:pt>
                <c:pt idx="101">
                  <c:v>1248.2639999999997</c:v>
                </c:pt>
                <c:pt idx="102">
                  <c:v>1245.0719999999997</c:v>
                </c:pt>
                <c:pt idx="103">
                  <c:v>1241.8799999999997</c:v>
                </c:pt>
                <c:pt idx="104">
                  <c:v>1238.6879999999996</c:v>
                </c:pt>
                <c:pt idx="105">
                  <c:v>1235.4959999999996</c:v>
                </c:pt>
                <c:pt idx="106">
                  <c:v>1232.3039999999996</c:v>
                </c:pt>
                <c:pt idx="107">
                  <c:v>1229.1119999999999</c:v>
                </c:pt>
                <c:pt idx="108">
                  <c:v>1225.9199999999998</c:v>
                </c:pt>
                <c:pt idx="109">
                  <c:v>1222.7279999999998</c:v>
                </c:pt>
                <c:pt idx="110">
                  <c:v>1219.5359999999998</c:v>
                </c:pt>
                <c:pt idx="111">
                  <c:v>1217.0074999999999</c:v>
                </c:pt>
                <c:pt idx="112">
                  <c:v>1215.1424999999999</c:v>
                </c:pt>
                <c:pt idx="113">
                  <c:v>1213.2774999999999</c:v>
                </c:pt>
                <c:pt idx="114">
                  <c:v>1211.4124999999999</c:v>
                </c:pt>
                <c:pt idx="115">
                  <c:v>1209.5474999999999</c:v>
                </c:pt>
                <c:pt idx="116">
                  <c:v>1207.6824999999999</c:v>
                </c:pt>
                <c:pt idx="117">
                  <c:v>1205.8174999999999</c:v>
                </c:pt>
                <c:pt idx="118">
                  <c:v>1203.9524999999999</c:v>
                </c:pt>
                <c:pt idx="119">
                  <c:v>1202.0874999999999</c:v>
                </c:pt>
                <c:pt idx="120">
                  <c:v>1200.2224999999999</c:v>
                </c:pt>
                <c:pt idx="121">
                  <c:v>1197.2639999999997</c:v>
                </c:pt>
                <c:pt idx="122">
                  <c:v>1193.2119999999995</c:v>
                </c:pt>
                <c:pt idx="123">
                  <c:v>1189.1599999999996</c:v>
                </c:pt>
                <c:pt idx="124">
                  <c:v>1185.1079999999995</c:v>
                </c:pt>
                <c:pt idx="125">
                  <c:v>1181.0559999999996</c:v>
                </c:pt>
                <c:pt idx="126">
                  <c:v>1177.0039999999997</c:v>
                </c:pt>
                <c:pt idx="127">
                  <c:v>1172.9519999999995</c:v>
                </c:pt>
                <c:pt idx="128">
                  <c:v>1168.8999999999996</c:v>
                </c:pt>
                <c:pt idx="129">
                  <c:v>1164.8479999999995</c:v>
                </c:pt>
                <c:pt idx="130">
                  <c:v>1160.7959999999996</c:v>
                </c:pt>
                <c:pt idx="131">
                  <c:v>1156.4594999999995</c:v>
                </c:pt>
                <c:pt idx="132">
                  <c:v>1151.8384999999994</c:v>
                </c:pt>
                <c:pt idx="133">
                  <c:v>1147.2174999999995</c:v>
                </c:pt>
                <c:pt idx="134">
                  <c:v>1142.5964999999994</c:v>
                </c:pt>
                <c:pt idx="135">
                  <c:v>1137.9754999999996</c:v>
                </c:pt>
                <c:pt idx="136">
                  <c:v>1133.3544999999995</c:v>
                </c:pt>
                <c:pt idx="137">
                  <c:v>1128.7334999999994</c:v>
                </c:pt>
                <c:pt idx="138">
                  <c:v>1124.1124999999995</c:v>
                </c:pt>
                <c:pt idx="139">
                  <c:v>1119.4914999999994</c:v>
                </c:pt>
                <c:pt idx="140">
                  <c:v>1114.8704999999993</c:v>
                </c:pt>
                <c:pt idx="141">
                  <c:v>1106.868333333332</c:v>
                </c:pt>
                <c:pt idx="142">
                  <c:v>1095.4849999999985</c:v>
                </c:pt>
                <c:pt idx="143">
                  <c:v>1084.1016666666653</c:v>
                </c:pt>
                <c:pt idx="144">
                  <c:v>1072.7183333333319</c:v>
                </c:pt>
                <c:pt idx="145">
                  <c:v>1061.3349999999984</c:v>
                </c:pt>
                <c:pt idx="146">
                  <c:v>1049.9516666666652</c:v>
                </c:pt>
                <c:pt idx="147">
                  <c:v>1038.5683333333318</c:v>
                </c:pt>
                <c:pt idx="148">
                  <c:v>1027.1849999999986</c:v>
                </c:pt>
                <c:pt idx="149">
                  <c:v>1015.8016666666653</c:v>
                </c:pt>
                <c:pt idx="150">
                  <c:v>1004.4183333333319</c:v>
                </c:pt>
                <c:pt idx="151">
                  <c:v>993.03499999999849</c:v>
                </c:pt>
                <c:pt idx="152">
                  <c:v>981.65166666666528</c:v>
                </c:pt>
                <c:pt idx="153">
                  <c:v>970.26833333333184</c:v>
                </c:pt>
                <c:pt idx="154">
                  <c:v>958.88499999999851</c:v>
                </c:pt>
                <c:pt idx="155">
                  <c:v>947.50166666666519</c:v>
                </c:pt>
                <c:pt idx="156">
                  <c:v>920.23599999999465</c:v>
                </c:pt>
                <c:pt idx="157">
                  <c:v>877.08799999999474</c:v>
                </c:pt>
                <c:pt idx="158">
                  <c:v>833.93999999999471</c:v>
                </c:pt>
                <c:pt idx="159">
                  <c:v>790.7919999999948</c:v>
                </c:pt>
                <c:pt idx="160">
                  <c:v>747.64399999999478</c:v>
                </c:pt>
                <c:pt idx="161">
                  <c:v>684.3449999999898</c:v>
                </c:pt>
                <c:pt idx="162">
                  <c:v>600.89499999998975</c:v>
                </c:pt>
                <c:pt idx="163">
                  <c:v>519.36499999998978</c:v>
                </c:pt>
                <c:pt idx="164">
                  <c:v>439.75499999998891</c:v>
                </c:pt>
                <c:pt idx="165">
                  <c:v>379.37749999999403</c:v>
                </c:pt>
                <c:pt idx="166">
                  <c:v>338.23249999999405</c:v>
                </c:pt>
                <c:pt idx="167">
                  <c:v>282.46999999998985</c:v>
                </c:pt>
                <c:pt idx="168">
                  <c:v>222.66499999999292</c:v>
                </c:pt>
                <c:pt idx="169">
                  <c:v>132.67499999998114</c:v>
                </c:pt>
                <c:pt idx="170">
                  <c:v>33.649999999990285</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B98B-46BB-BB51-DAAA2071230C}"/>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33.600100000000211</c:v>
                </c:pt>
                <c:pt idx="518">
                  <c:v>33.600200000000214</c:v>
                </c:pt>
                <c:pt idx="519">
                  <c:v>33.600300000000217</c:v>
                </c:pt>
                <c:pt idx="520">
                  <c:v>33.600400000000221</c:v>
                </c:pt>
                <c:pt idx="521">
                  <c:v>33.600500000000224</c:v>
                </c:pt>
                <c:pt idx="522">
                  <c:v>33.600600000000227</c:v>
                </c:pt>
                <c:pt idx="523">
                  <c:v>33.600700000000231</c:v>
                </c:pt>
                <c:pt idx="524">
                  <c:v>33.600800000000234</c:v>
                </c:pt>
                <c:pt idx="525">
                  <c:v>33.600900000000237</c:v>
                </c:pt>
                <c:pt idx="526">
                  <c:v>33.601000000000241</c:v>
                </c:pt>
                <c:pt idx="527">
                  <c:v>33.601100000000244</c:v>
                </c:pt>
                <c:pt idx="528">
                  <c:v>33.601200000000247</c:v>
                </c:pt>
                <c:pt idx="529">
                  <c:v>33.601300000000251</c:v>
                </c:pt>
                <c:pt idx="530">
                  <c:v>33.601400000000254</c:v>
                </c:pt>
                <c:pt idx="531">
                  <c:v>33.601500000000257</c:v>
                </c:pt>
                <c:pt idx="532">
                  <c:v>33.601600000000261</c:v>
                </c:pt>
                <c:pt idx="533">
                  <c:v>33.601700000000264</c:v>
                </c:pt>
                <c:pt idx="534">
                  <c:v>33.601800000000267</c:v>
                </c:pt>
                <c:pt idx="535">
                  <c:v>33.601900000000271</c:v>
                </c:pt>
                <c:pt idx="536">
                  <c:v>33.602000000000274</c:v>
                </c:pt>
                <c:pt idx="537">
                  <c:v>33.602100000000277</c:v>
                </c:pt>
                <c:pt idx="538">
                  <c:v>33.602200000000281</c:v>
                </c:pt>
                <c:pt idx="539">
                  <c:v>33.602300000000284</c:v>
                </c:pt>
                <c:pt idx="540">
                  <c:v>33.602400000000287</c:v>
                </c:pt>
                <c:pt idx="541">
                  <c:v>33.60250000000029</c:v>
                </c:pt>
                <c:pt idx="542">
                  <c:v>33.602600000000294</c:v>
                </c:pt>
                <c:pt idx="543">
                  <c:v>33.602700000000297</c:v>
                </c:pt>
                <c:pt idx="544">
                  <c:v>33.6028000000003</c:v>
                </c:pt>
                <c:pt idx="545">
                  <c:v>33.602900000000304</c:v>
                </c:pt>
                <c:pt idx="546">
                  <c:v>33.603000000000307</c:v>
                </c:pt>
                <c:pt idx="547">
                  <c:v>33.60310000000031</c:v>
                </c:pt>
                <c:pt idx="548">
                  <c:v>33.603200000000314</c:v>
                </c:pt>
                <c:pt idx="549">
                  <c:v>33.603300000000317</c:v>
                </c:pt>
                <c:pt idx="550">
                  <c:v>33.60340000000032</c:v>
                </c:pt>
                <c:pt idx="551">
                  <c:v>33.603500000000324</c:v>
                </c:pt>
                <c:pt idx="552">
                  <c:v>33.603600000000327</c:v>
                </c:pt>
                <c:pt idx="553">
                  <c:v>33.60370000000033</c:v>
                </c:pt>
                <c:pt idx="554">
                  <c:v>33.603800000000334</c:v>
                </c:pt>
                <c:pt idx="555">
                  <c:v>33.603900000000337</c:v>
                </c:pt>
                <c:pt idx="556">
                  <c:v>33.60400000000034</c:v>
                </c:pt>
                <c:pt idx="557">
                  <c:v>33.604100000000344</c:v>
                </c:pt>
                <c:pt idx="558">
                  <c:v>33.604200000000347</c:v>
                </c:pt>
                <c:pt idx="559">
                  <c:v>33.60430000000035</c:v>
                </c:pt>
                <c:pt idx="560">
                  <c:v>33.604400000000354</c:v>
                </c:pt>
                <c:pt idx="561">
                  <c:v>33.604500000000357</c:v>
                </c:pt>
                <c:pt idx="562">
                  <c:v>33.60460000000036</c:v>
                </c:pt>
                <c:pt idx="563">
                  <c:v>33.604700000000364</c:v>
                </c:pt>
                <c:pt idx="564">
                  <c:v>33.604800000000367</c:v>
                </c:pt>
                <c:pt idx="565">
                  <c:v>33.60490000000037</c:v>
                </c:pt>
                <c:pt idx="566">
                  <c:v>33.605000000000373</c:v>
                </c:pt>
                <c:pt idx="567">
                  <c:v>33.605100000000377</c:v>
                </c:pt>
                <c:pt idx="568">
                  <c:v>33.60520000000038</c:v>
                </c:pt>
                <c:pt idx="569">
                  <c:v>33.605300000000383</c:v>
                </c:pt>
                <c:pt idx="570">
                  <c:v>33.605400000000387</c:v>
                </c:pt>
                <c:pt idx="571">
                  <c:v>33.60550000000039</c:v>
                </c:pt>
                <c:pt idx="572">
                  <c:v>33.605600000000393</c:v>
                </c:pt>
                <c:pt idx="573">
                  <c:v>33.605700000000397</c:v>
                </c:pt>
                <c:pt idx="574">
                  <c:v>33.6058000000004</c:v>
                </c:pt>
                <c:pt idx="575">
                  <c:v>33.605900000000403</c:v>
                </c:pt>
                <c:pt idx="576">
                  <c:v>33.606000000000407</c:v>
                </c:pt>
                <c:pt idx="577">
                  <c:v>33.60610000000041</c:v>
                </c:pt>
                <c:pt idx="578">
                  <c:v>33.606200000000413</c:v>
                </c:pt>
                <c:pt idx="579">
                  <c:v>33.606300000000417</c:v>
                </c:pt>
                <c:pt idx="580">
                  <c:v>33.60640000000042</c:v>
                </c:pt>
                <c:pt idx="581">
                  <c:v>33.606500000000423</c:v>
                </c:pt>
                <c:pt idx="582">
                  <c:v>33.606600000000427</c:v>
                </c:pt>
                <c:pt idx="583">
                  <c:v>33.60670000000043</c:v>
                </c:pt>
                <c:pt idx="584">
                  <c:v>33.606800000000433</c:v>
                </c:pt>
                <c:pt idx="585">
                  <c:v>33.606900000000437</c:v>
                </c:pt>
                <c:pt idx="586">
                  <c:v>33.60700000000044</c:v>
                </c:pt>
                <c:pt idx="587">
                  <c:v>33.607100000000443</c:v>
                </c:pt>
                <c:pt idx="588">
                  <c:v>33.607200000000446</c:v>
                </c:pt>
                <c:pt idx="589">
                  <c:v>33.60730000000045</c:v>
                </c:pt>
                <c:pt idx="590">
                  <c:v>33.607400000000453</c:v>
                </c:pt>
                <c:pt idx="591">
                  <c:v>33.607500000000456</c:v>
                </c:pt>
                <c:pt idx="592">
                  <c:v>33.60760000000046</c:v>
                </c:pt>
                <c:pt idx="593">
                  <c:v>33.607700000000463</c:v>
                </c:pt>
                <c:pt idx="594">
                  <c:v>33.607800000000466</c:v>
                </c:pt>
                <c:pt idx="595">
                  <c:v>33.60790000000047</c:v>
                </c:pt>
                <c:pt idx="596">
                  <c:v>33.608000000000473</c:v>
                </c:pt>
                <c:pt idx="597">
                  <c:v>33.608100000000476</c:v>
                </c:pt>
                <c:pt idx="598">
                  <c:v>33.60820000000048</c:v>
                </c:pt>
                <c:pt idx="599">
                  <c:v>33.608300000000483</c:v>
                </c:pt>
                <c:pt idx="600">
                  <c:v>33.608400000000486</c:v>
                </c:pt>
                <c:pt idx="601">
                  <c:v>33.60850000000049</c:v>
                </c:pt>
                <c:pt idx="602">
                  <c:v>33.608600000000493</c:v>
                </c:pt>
                <c:pt idx="603">
                  <c:v>33.608700000000496</c:v>
                </c:pt>
                <c:pt idx="604">
                  <c:v>33.6088000000005</c:v>
                </c:pt>
                <c:pt idx="605">
                  <c:v>33.608900000000503</c:v>
                </c:pt>
                <c:pt idx="606">
                  <c:v>33.609000000000506</c:v>
                </c:pt>
                <c:pt idx="607">
                  <c:v>33.60910000000051</c:v>
                </c:pt>
                <c:pt idx="608">
                  <c:v>33.609200000000513</c:v>
                </c:pt>
                <c:pt idx="609">
                  <c:v>33.609300000000516</c:v>
                </c:pt>
                <c:pt idx="610">
                  <c:v>33.60940000000052</c:v>
                </c:pt>
                <c:pt idx="611">
                  <c:v>33.609500000000523</c:v>
                </c:pt>
                <c:pt idx="612">
                  <c:v>33.609600000000526</c:v>
                </c:pt>
                <c:pt idx="613">
                  <c:v>33.609700000000529</c:v>
                </c:pt>
                <c:pt idx="614">
                  <c:v>33.609800000000533</c:v>
                </c:pt>
                <c:pt idx="615">
                  <c:v>33.609900000000536</c:v>
                </c:pt>
                <c:pt idx="616">
                  <c:v>33.610000000000539</c:v>
                </c:pt>
                <c:pt idx="617">
                  <c:v>33.610100000000543</c:v>
                </c:pt>
                <c:pt idx="618">
                  <c:v>33.610200000000546</c:v>
                </c:pt>
                <c:pt idx="619">
                  <c:v>33.610300000000549</c:v>
                </c:pt>
                <c:pt idx="620">
                  <c:v>33.610400000000553</c:v>
                </c:pt>
                <c:pt idx="621">
                  <c:v>33.610500000000556</c:v>
                </c:pt>
                <c:pt idx="622">
                  <c:v>33.610600000000559</c:v>
                </c:pt>
                <c:pt idx="623">
                  <c:v>33.610700000000563</c:v>
                </c:pt>
                <c:pt idx="624">
                  <c:v>33.610800000000566</c:v>
                </c:pt>
                <c:pt idx="625">
                  <c:v>33.610900000000569</c:v>
                </c:pt>
                <c:pt idx="626">
                  <c:v>33.611000000000573</c:v>
                </c:pt>
                <c:pt idx="627">
                  <c:v>33.611100000000576</c:v>
                </c:pt>
                <c:pt idx="628">
                  <c:v>33.611200000000579</c:v>
                </c:pt>
                <c:pt idx="629">
                  <c:v>33.611300000000583</c:v>
                </c:pt>
                <c:pt idx="630">
                  <c:v>33.611400000000586</c:v>
                </c:pt>
                <c:pt idx="631">
                  <c:v>33.611500000000589</c:v>
                </c:pt>
                <c:pt idx="632">
                  <c:v>33.611600000000593</c:v>
                </c:pt>
                <c:pt idx="633">
                  <c:v>33.611700000000596</c:v>
                </c:pt>
                <c:pt idx="634">
                  <c:v>33.611800000000599</c:v>
                </c:pt>
                <c:pt idx="635">
                  <c:v>33.611900000000603</c:v>
                </c:pt>
                <c:pt idx="636">
                  <c:v>33.612000000000606</c:v>
                </c:pt>
                <c:pt idx="637">
                  <c:v>33.612100000000609</c:v>
                </c:pt>
                <c:pt idx="638">
                  <c:v>33.612200000000612</c:v>
                </c:pt>
                <c:pt idx="639">
                  <c:v>33.612300000000616</c:v>
                </c:pt>
                <c:pt idx="640">
                  <c:v>33.612400000000619</c:v>
                </c:pt>
                <c:pt idx="641">
                  <c:v>33.612500000000622</c:v>
                </c:pt>
                <c:pt idx="642">
                  <c:v>33.612600000000626</c:v>
                </c:pt>
                <c:pt idx="643">
                  <c:v>33.612700000000629</c:v>
                </c:pt>
                <c:pt idx="644">
                  <c:v>33.612800000000632</c:v>
                </c:pt>
                <c:pt idx="645">
                  <c:v>33.612900000000636</c:v>
                </c:pt>
                <c:pt idx="646">
                  <c:v>33.613000000000639</c:v>
                </c:pt>
                <c:pt idx="647">
                  <c:v>33.613100000000642</c:v>
                </c:pt>
                <c:pt idx="648">
                  <c:v>33.613200000000646</c:v>
                </c:pt>
                <c:pt idx="649">
                  <c:v>33.613300000000649</c:v>
                </c:pt>
                <c:pt idx="650">
                  <c:v>33.613400000000652</c:v>
                </c:pt>
                <c:pt idx="651">
                  <c:v>33.613500000000656</c:v>
                </c:pt>
                <c:pt idx="652">
                  <c:v>33.613600000000659</c:v>
                </c:pt>
                <c:pt idx="653">
                  <c:v>33.613700000000662</c:v>
                </c:pt>
                <c:pt idx="654">
                  <c:v>33.613800000000666</c:v>
                </c:pt>
                <c:pt idx="655">
                  <c:v>33.613900000000669</c:v>
                </c:pt>
                <c:pt idx="656">
                  <c:v>33.614000000000672</c:v>
                </c:pt>
                <c:pt idx="657">
                  <c:v>33.614100000000676</c:v>
                </c:pt>
                <c:pt idx="658">
                  <c:v>33.614200000000679</c:v>
                </c:pt>
                <c:pt idx="659">
                  <c:v>33.614300000000682</c:v>
                </c:pt>
                <c:pt idx="660">
                  <c:v>33.614400000000686</c:v>
                </c:pt>
                <c:pt idx="661">
                  <c:v>33.614500000000689</c:v>
                </c:pt>
                <c:pt idx="662">
                  <c:v>33.614600000000692</c:v>
                </c:pt>
                <c:pt idx="663">
                  <c:v>33.614700000000695</c:v>
                </c:pt>
                <c:pt idx="664">
                  <c:v>33.614800000000699</c:v>
                </c:pt>
                <c:pt idx="665">
                  <c:v>33.614900000000702</c:v>
                </c:pt>
                <c:pt idx="666">
                  <c:v>33.615000000000705</c:v>
                </c:pt>
                <c:pt idx="667">
                  <c:v>33.615100000000709</c:v>
                </c:pt>
                <c:pt idx="668">
                  <c:v>33.615200000000712</c:v>
                </c:pt>
                <c:pt idx="669">
                  <c:v>33.615300000000715</c:v>
                </c:pt>
                <c:pt idx="670">
                  <c:v>33.615400000000719</c:v>
                </c:pt>
                <c:pt idx="671">
                  <c:v>33.615500000000722</c:v>
                </c:pt>
                <c:pt idx="672">
                  <c:v>33.615600000000725</c:v>
                </c:pt>
                <c:pt idx="673">
                  <c:v>33.615700000000729</c:v>
                </c:pt>
                <c:pt idx="674">
                  <c:v>33.615800000000732</c:v>
                </c:pt>
                <c:pt idx="675">
                  <c:v>33.615900000000735</c:v>
                </c:pt>
                <c:pt idx="676">
                  <c:v>33.616000000000739</c:v>
                </c:pt>
                <c:pt idx="677">
                  <c:v>33.616100000000742</c:v>
                </c:pt>
                <c:pt idx="678">
                  <c:v>33.616200000000745</c:v>
                </c:pt>
                <c:pt idx="679">
                  <c:v>33.616300000000749</c:v>
                </c:pt>
                <c:pt idx="680">
                  <c:v>33.616400000000752</c:v>
                </c:pt>
                <c:pt idx="681">
                  <c:v>33.616500000000755</c:v>
                </c:pt>
                <c:pt idx="682">
                  <c:v>33.616600000000759</c:v>
                </c:pt>
                <c:pt idx="683">
                  <c:v>33.616700000000762</c:v>
                </c:pt>
                <c:pt idx="684">
                  <c:v>33.616800000000765</c:v>
                </c:pt>
                <c:pt idx="685">
                  <c:v>33.616900000000769</c:v>
                </c:pt>
                <c:pt idx="686">
                  <c:v>33.617000000000772</c:v>
                </c:pt>
                <c:pt idx="687">
                  <c:v>33.617100000000775</c:v>
                </c:pt>
                <c:pt idx="688">
                  <c:v>33.617200000000778</c:v>
                </c:pt>
                <c:pt idx="689">
                  <c:v>33.617300000000782</c:v>
                </c:pt>
                <c:pt idx="690">
                  <c:v>33.617400000000785</c:v>
                </c:pt>
                <c:pt idx="691">
                  <c:v>33.617500000000788</c:v>
                </c:pt>
                <c:pt idx="692">
                  <c:v>33.617600000000792</c:v>
                </c:pt>
                <c:pt idx="693">
                  <c:v>33.617700000000795</c:v>
                </c:pt>
                <c:pt idx="694">
                  <c:v>33.617800000000798</c:v>
                </c:pt>
                <c:pt idx="695">
                  <c:v>33.617900000000802</c:v>
                </c:pt>
                <c:pt idx="696">
                  <c:v>33.618000000000805</c:v>
                </c:pt>
                <c:pt idx="697">
                  <c:v>33.618100000000808</c:v>
                </c:pt>
                <c:pt idx="698">
                  <c:v>33.618200000000812</c:v>
                </c:pt>
                <c:pt idx="699">
                  <c:v>33.618300000000815</c:v>
                </c:pt>
                <c:pt idx="700">
                  <c:v>33.618400000000818</c:v>
                </c:pt>
                <c:pt idx="701">
                  <c:v>33.618500000000822</c:v>
                </c:pt>
                <c:pt idx="702">
                  <c:v>33.618600000000825</c:v>
                </c:pt>
                <c:pt idx="703">
                  <c:v>33.618700000000828</c:v>
                </c:pt>
                <c:pt idx="704">
                  <c:v>33.618800000000832</c:v>
                </c:pt>
                <c:pt idx="705">
                  <c:v>33.618900000000835</c:v>
                </c:pt>
                <c:pt idx="706">
                  <c:v>33.619000000000838</c:v>
                </c:pt>
                <c:pt idx="707">
                  <c:v>33.619100000000842</c:v>
                </c:pt>
                <c:pt idx="708">
                  <c:v>33.619200000000845</c:v>
                </c:pt>
                <c:pt idx="709">
                  <c:v>33.619300000000848</c:v>
                </c:pt>
                <c:pt idx="710">
                  <c:v>33.619400000000851</c:v>
                </c:pt>
                <c:pt idx="711">
                  <c:v>33.619500000000855</c:v>
                </c:pt>
                <c:pt idx="712">
                  <c:v>33.619600000000858</c:v>
                </c:pt>
                <c:pt idx="713">
                  <c:v>33.619700000000861</c:v>
                </c:pt>
                <c:pt idx="714">
                  <c:v>33.619800000000865</c:v>
                </c:pt>
                <c:pt idx="715">
                  <c:v>33.619900000000868</c:v>
                </c:pt>
                <c:pt idx="716">
                  <c:v>33.620000000000871</c:v>
                </c:pt>
                <c:pt idx="717">
                  <c:v>33.620100000000875</c:v>
                </c:pt>
                <c:pt idx="718">
                  <c:v>33.620200000000878</c:v>
                </c:pt>
                <c:pt idx="719">
                  <c:v>33.620300000000881</c:v>
                </c:pt>
                <c:pt idx="720">
                  <c:v>33.620400000000885</c:v>
                </c:pt>
                <c:pt idx="721">
                  <c:v>33.620500000000888</c:v>
                </c:pt>
                <c:pt idx="722">
                  <c:v>33.620600000000891</c:v>
                </c:pt>
                <c:pt idx="723">
                  <c:v>33.620700000000895</c:v>
                </c:pt>
                <c:pt idx="724">
                  <c:v>33.620800000000898</c:v>
                </c:pt>
                <c:pt idx="725">
                  <c:v>33.620900000000901</c:v>
                </c:pt>
                <c:pt idx="726">
                  <c:v>33.621000000000905</c:v>
                </c:pt>
                <c:pt idx="727">
                  <c:v>33.621100000000908</c:v>
                </c:pt>
                <c:pt idx="728">
                  <c:v>33.621200000000911</c:v>
                </c:pt>
                <c:pt idx="729">
                  <c:v>33.621300000000915</c:v>
                </c:pt>
                <c:pt idx="730">
                  <c:v>33.621400000000918</c:v>
                </c:pt>
                <c:pt idx="731">
                  <c:v>33.621500000000921</c:v>
                </c:pt>
                <c:pt idx="732">
                  <c:v>33.621600000000925</c:v>
                </c:pt>
                <c:pt idx="733">
                  <c:v>33.621700000000928</c:v>
                </c:pt>
                <c:pt idx="734">
                  <c:v>33.621800000000931</c:v>
                </c:pt>
                <c:pt idx="735">
                  <c:v>33.621900000000934</c:v>
                </c:pt>
                <c:pt idx="736">
                  <c:v>33.622000000000938</c:v>
                </c:pt>
                <c:pt idx="737">
                  <c:v>33.622100000000941</c:v>
                </c:pt>
                <c:pt idx="738">
                  <c:v>33.622200000000944</c:v>
                </c:pt>
                <c:pt idx="739">
                  <c:v>33.622300000000948</c:v>
                </c:pt>
                <c:pt idx="740">
                  <c:v>33.622400000000951</c:v>
                </c:pt>
                <c:pt idx="741">
                  <c:v>33.622500000000954</c:v>
                </c:pt>
                <c:pt idx="742">
                  <c:v>33.622600000000958</c:v>
                </c:pt>
                <c:pt idx="743">
                  <c:v>33.622700000000961</c:v>
                </c:pt>
                <c:pt idx="744">
                  <c:v>33.622800000000964</c:v>
                </c:pt>
                <c:pt idx="745">
                  <c:v>33.622900000000968</c:v>
                </c:pt>
                <c:pt idx="746">
                  <c:v>33.623000000000971</c:v>
                </c:pt>
                <c:pt idx="747">
                  <c:v>33.623100000000974</c:v>
                </c:pt>
                <c:pt idx="748">
                  <c:v>33.623200000000978</c:v>
                </c:pt>
                <c:pt idx="749">
                  <c:v>33.623300000000981</c:v>
                </c:pt>
                <c:pt idx="750">
                  <c:v>33.623400000000984</c:v>
                </c:pt>
                <c:pt idx="751">
                  <c:v>33.623500000000988</c:v>
                </c:pt>
                <c:pt idx="752">
                  <c:v>33.623600000000991</c:v>
                </c:pt>
                <c:pt idx="753">
                  <c:v>33.623700000000994</c:v>
                </c:pt>
                <c:pt idx="754">
                  <c:v>33.623800000000998</c:v>
                </c:pt>
                <c:pt idx="755">
                  <c:v>33.623900000001001</c:v>
                </c:pt>
                <c:pt idx="756">
                  <c:v>33.624000000001004</c:v>
                </c:pt>
                <c:pt idx="757">
                  <c:v>33.624100000001008</c:v>
                </c:pt>
                <c:pt idx="758">
                  <c:v>33.624200000001011</c:v>
                </c:pt>
                <c:pt idx="759">
                  <c:v>33.624300000001014</c:v>
                </c:pt>
                <c:pt idx="760">
                  <c:v>33.624400000001017</c:v>
                </c:pt>
                <c:pt idx="761">
                  <c:v>33.624500000001021</c:v>
                </c:pt>
                <c:pt idx="762">
                  <c:v>33.624600000001024</c:v>
                </c:pt>
                <c:pt idx="763">
                  <c:v>33.624700000001027</c:v>
                </c:pt>
                <c:pt idx="764">
                  <c:v>33.624800000001031</c:v>
                </c:pt>
                <c:pt idx="765">
                  <c:v>33.624900000001034</c:v>
                </c:pt>
                <c:pt idx="766">
                  <c:v>33.625000000001037</c:v>
                </c:pt>
                <c:pt idx="767">
                  <c:v>33.625100000001041</c:v>
                </c:pt>
                <c:pt idx="768">
                  <c:v>33.625200000001044</c:v>
                </c:pt>
                <c:pt idx="769">
                  <c:v>33.625300000001047</c:v>
                </c:pt>
                <c:pt idx="770">
                  <c:v>33.625400000001051</c:v>
                </c:pt>
                <c:pt idx="771">
                  <c:v>33.625500000001054</c:v>
                </c:pt>
                <c:pt idx="772">
                  <c:v>33.625600000001057</c:v>
                </c:pt>
                <c:pt idx="773">
                  <c:v>33.625700000001061</c:v>
                </c:pt>
                <c:pt idx="774">
                  <c:v>33.625800000001064</c:v>
                </c:pt>
                <c:pt idx="775">
                  <c:v>33.625900000001067</c:v>
                </c:pt>
                <c:pt idx="776">
                  <c:v>33.626000000001071</c:v>
                </c:pt>
                <c:pt idx="777">
                  <c:v>33.626100000001074</c:v>
                </c:pt>
                <c:pt idx="778">
                  <c:v>33.626200000001077</c:v>
                </c:pt>
                <c:pt idx="779">
                  <c:v>33.626300000001081</c:v>
                </c:pt>
                <c:pt idx="780">
                  <c:v>33.626400000001084</c:v>
                </c:pt>
                <c:pt idx="781">
                  <c:v>33.626500000001087</c:v>
                </c:pt>
                <c:pt idx="782">
                  <c:v>33.626600000001091</c:v>
                </c:pt>
                <c:pt idx="783">
                  <c:v>33.626700000001094</c:v>
                </c:pt>
                <c:pt idx="784">
                  <c:v>33.626800000001097</c:v>
                </c:pt>
                <c:pt idx="785">
                  <c:v>33.6269000000011</c:v>
                </c:pt>
                <c:pt idx="786">
                  <c:v>33.627000000001104</c:v>
                </c:pt>
                <c:pt idx="787">
                  <c:v>33.627100000001107</c:v>
                </c:pt>
                <c:pt idx="788">
                  <c:v>33.62720000000111</c:v>
                </c:pt>
                <c:pt idx="789">
                  <c:v>33.627300000001114</c:v>
                </c:pt>
                <c:pt idx="790">
                  <c:v>33.627400000001117</c:v>
                </c:pt>
                <c:pt idx="791">
                  <c:v>33.62750000000112</c:v>
                </c:pt>
                <c:pt idx="792">
                  <c:v>33.627600000001124</c:v>
                </c:pt>
                <c:pt idx="793">
                  <c:v>33.627700000001127</c:v>
                </c:pt>
                <c:pt idx="794">
                  <c:v>33.62780000000113</c:v>
                </c:pt>
                <c:pt idx="795">
                  <c:v>33.627900000001134</c:v>
                </c:pt>
                <c:pt idx="796">
                  <c:v>33.628000000001137</c:v>
                </c:pt>
                <c:pt idx="797">
                  <c:v>33.62810000000114</c:v>
                </c:pt>
                <c:pt idx="798">
                  <c:v>33.628200000001144</c:v>
                </c:pt>
                <c:pt idx="799">
                  <c:v>33.628300000001147</c:v>
                </c:pt>
                <c:pt idx="800">
                  <c:v>33.62840000000115</c:v>
                </c:pt>
                <c:pt idx="801">
                  <c:v>33.628500000001154</c:v>
                </c:pt>
                <c:pt idx="802">
                  <c:v>33.628600000001157</c:v>
                </c:pt>
                <c:pt idx="803">
                  <c:v>33.62870000000116</c:v>
                </c:pt>
                <c:pt idx="804">
                  <c:v>33.628800000001164</c:v>
                </c:pt>
                <c:pt idx="805">
                  <c:v>33.628900000001167</c:v>
                </c:pt>
                <c:pt idx="806">
                  <c:v>33.62900000000117</c:v>
                </c:pt>
                <c:pt idx="807">
                  <c:v>33.629100000001173</c:v>
                </c:pt>
                <c:pt idx="808">
                  <c:v>33.629200000001177</c:v>
                </c:pt>
                <c:pt idx="809">
                  <c:v>33.62930000000118</c:v>
                </c:pt>
                <c:pt idx="810">
                  <c:v>33.629400000001183</c:v>
                </c:pt>
                <c:pt idx="811">
                  <c:v>33.629500000001187</c:v>
                </c:pt>
                <c:pt idx="812">
                  <c:v>33.62960000000119</c:v>
                </c:pt>
                <c:pt idx="813">
                  <c:v>33.629700000001193</c:v>
                </c:pt>
                <c:pt idx="814">
                  <c:v>33.629800000001197</c:v>
                </c:pt>
                <c:pt idx="815">
                  <c:v>33.6299000000012</c:v>
                </c:pt>
                <c:pt idx="816">
                  <c:v>33.630000000001203</c:v>
                </c:pt>
                <c:pt idx="817">
                  <c:v>33.630100000001207</c:v>
                </c:pt>
                <c:pt idx="818">
                  <c:v>33.63020000000121</c:v>
                </c:pt>
                <c:pt idx="819">
                  <c:v>33.630300000001213</c:v>
                </c:pt>
                <c:pt idx="820">
                  <c:v>33.630400000001217</c:v>
                </c:pt>
                <c:pt idx="821">
                  <c:v>33.63050000000122</c:v>
                </c:pt>
                <c:pt idx="822">
                  <c:v>33.630600000001223</c:v>
                </c:pt>
                <c:pt idx="823">
                  <c:v>33.630700000001227</c:v>
                </c:pt>
                <c:pt idx="824">
                  <c:v>33.63080000000123</c:v>
                </c:pt>
                <c:pt idx="825">
                  <c:v>33.630900000001233</c:v>
                </c:pt>
                <c:pt idx="826">
                  <c:v>33.631000000001237</c:v>
                </c:pt>
                <c:pt idx="827">
                  <c:v>33.63110000000124</c:v>
                </c:pt>
                <c:pt idx="828">
                  <c:v>33.631200000001243</c:v>
                </c:pt>
                <c:pt idx="829">
                  <c:v>33.631300000001247</c:v>
                </c:pt>
                <c:pt idx="830">
                  <c:v>33.63140000000125</c:v>
                </c:pt>
                <c:pt idx="831">
                  <c:v>33.631500000001253</c:v>
                </c:pt>
                <c:pt idx="832">
                  <c:v>33.631600000001256</c:v>
                </c:pt>
                <c:pt idx="833">
                  <c:v>33.63170000000126</c:v>
                </c:pt>
                <c:pt idx="834">
                  <c:v>33.631800000001263</c:v>
                </c:pt>
                <c:pt idx="835">
                  <c:v>33.631900000001266</c:v>
                </c:pt>
                <c:pt idx="836">
                  <c:v>33.63200000000127</c:v>
                </c:pt>
                <c:pt idx="837">
                  <c:v>33.632100000001273</c:v>
                </c:pt>
                <c:pt idx="838">
                  <c:v>33.632200000001276</c:v>
                </c:pt>
                <c:pt idx="839">
                  <c:v>33.63230000000128</c:v>
                </c:pt>
                <c:pt idx="840">
                  <c:v>33.632400000001283</c:v>
                </c:pt>
                <c:pt idx="841">
                  <c:v>33.632500000001286</c:v>
                </c:pt>
                <c:pt idx="842">
                  <c:v>33.63260000000129</c:v>
                </c:pt>
                <c:pt idx="843">
                  <c:v>33.632700000001293</c:v>
                </c:pt>
                <c:pt idx="844">
                  <c:v>33.632800000001296</c:v>
                </c:pt>
                <c:pt idx="845">
                  <c:v>33.6329000000013</c:v>
                </c:pt>
                <c:pt idx="846">
                  <c:v>33.633000000001303</c:v>
                </c:pt>
                <c:pt idx="847">
                  <c:v>33.633100000001306</c:v>
                </c:pt>
                <c:pt idx="848">
                  <c:v>33.63320000000131</c:v>
                </c:pt>
                <c:pt idx="849">
                  <c:v>33.633300000001313</c:v>
                </c:pt>
                <c:pt idx="850">
                  <c:v>33.633400000001316</c:v>
                </c:pt>
                <c:pt idx="851">
                  <c:v>33.63350000000132</c:v>
                </c:pt>
                <c:pt idx="852">
                  <c:v>33.633600000001323</c:v>
                </c:pt>
                <c:pt idx="853">
                  <c:v>33.633700000001326</c:v>
                </c:pt>
                <c:pt idx="854">
                  <c:v>33.63380000000133</c:v>
                </c:pt>
                <c:pt idx="855">
                  <c:v>33.633900000001333</c:v>
                </c:pt>
                <c:pt idx="856">
                  <c:v>33.634000000001336</c:v>
                </c:pt>
                <c:pt idx="857">
                  <c:v>33.634100000001339</c:v>
                </c:pt>
                <c:pt idx="858">
                  <c:v>33.634200000001343</c:v>
                </c:pt>
                <c:pt idx="859">
                  <c:v>33.634300000001346</c:v>
                </c:pt>
                <c:pt idx="860">
                  <c:v>33.634400000001349</c:v>
                </c:pt>
                <c:pt idx="861">
                  <c:v>33.634500000001353</c:v>
                </c:pt>
                <c:pt idx="862">
                  <c:v>33.634600000001356</c:v>
                </c:pt>
                <c:pt idx="863">
                  <c:v>33.634700000001359</c:v>
                </c:pt>
                <c:pt idx="864">
                  <c:v>33.634800000001363</c:v>
                </c:pt>
                <c:pt idx="865">
                  <c:v>33.634900000001366</c:v>
                </c:pt>
                <c:pt idx="866">
                  <c:v>33.635000000001369</c:v>
                </c:pt>
                <c:pt idx="867">
                  <c:v>33.635100000001373</c:v>
                </c:pt>
                <c:pt idx="868">
                  <c:v>33.635200000001376</c:v>
                </c:pt>
                <c:pt idx="869">
                  <c:v>33.635300000001379</c:v>
                </c:pt>
                <c:pt idx="870">
                  <c:v>33.635400000001383</c:v>
                </c:pt>
                <c:pt idx="871">
                  <c:v>33.635500000001386</c:v>
                </c:pt>
                <c:pt idx="872">
                  <c:v>33.635600000001389</c:v>
                </c:pt>
                <c:pt idx="873">
                  <c:v>33.635700000001393</c:v>
                </c:pt>
                <c:pt idx="874">
                  <c:v>33.635800000001396</c:v>
                </c:pt>
                <c:pt idx="875">
                  <c:v>33.635900000001399</c:v>
                </c:pt>
                <c:pt idx="876">
                  <c:v>33.636000000001403</c:v>
                </c:pt>
                <c:pt idx="877">
                  <c:v>33.636100000001406</c:v>
                </c:pt>
                <c:pt idx="878">
                  <c:v>33.636200000001409</c:v>
                </c:pt>
                <c:pt idx="879">
                  <c:v>33.636300000001413</c:v>
                </c:pt>
                <c:pt idx="880">
                  <c:v>33.636400000001416</c:v>
                </c:pt>
                <c:pt idx="881">
                  <c:v>33.636500000001419</c:v>
                </c:pt>
                <c:pt idx="882">
                  <c:v>33.636600000001422</c:v>
                </c:pt>
                <c:pt idx="883">
                  <c:v>33.636700000001426</c:v>
                </c:pt>
                <c:pt idx="884">
                  <c:v>33.636800000001429</c:v>
                </c:pt>
                <c:pt idx="885">
                  <c:v>33.636900000001432</c:v>
                </c:pt>
                <c:pt idx="886">
                  <c:v>33.637000000001436</c:v>
                </c:pt>
                <c:pt idx="887">
                  <c:v>33.637100000001439</c:v>
                </c:pt>
                <c:pt idx="888">
                  <c:v>33.637200000001442</c:v>
                </c:pt>
                <c:pt idx="889">
                  <c:v>33.637300000001446</c:v>
                </c:pt>
                <c:pt idx="890">
                  <c:v>33.637400000001449</c:v>
                </c:pt>
                <c:pt idx="891">
                  <c:v>33.637500000001452</c:v>
                </c:pt>
                <c:pt idx="892">
                  <c:v>33.637600000001456</c:v>
                </c:pt>
                <c:pt idx="893">
                  <c:v>33.637700000001459</c:v>
                </c:pt>
                <c:pt idx="894">
                  <c:v>33.637800000001462</c:v>
                </c:pt>
                <c:pt idx="895">
                  <c:v>33.637900000001466</c:v>
                </c:pt>
                <c:pt idx="896">
                  <c:v>33.638000000001469</c:v>
                </c:pt>
                <c:pt idx="897">
                  <c:v>33.638100000001472</c:v>
                </c:pt>
                <c:pt idx="898">
                  <c:v>33.638200000001476</c:v>
                </c:pt>
                <c:pt idx="899">
                  <c:v>33.638300000001479</c:v>
                </c:pt>
                <c:pt idx="900">
                  <c:v>33.638400000001482</c:v>
                </c:pt>
                <c:pt idx="901">
                  <c:v>33.638500000001486</c:v>
                </c:pt>
                <c:pt idx="902">
                  <c:v>33.638600000001489</c:v>
                </c:pt>
                <c:pt idx="903">
                  <c:v>33.638700000001492</c:v>
                </c:pt>
                <c:pt idx="904">
                  <c:v>33.638800000001496</c:v>
                </c:pt>
                <c:pt idx="905">
                  <c:v>33.638900000001499</c:v>
                </c:pt>
                <c:pt idx="906">
                  <c:v>33.639000000001502</c:v>
                </c:pt>
                <c:pt idx="907">
                  <c:v>33.639100000001505</c:v>
                </c:pt>
                <c:pt idx="908">
                  <c:v>33.639200000001509</c:v>
                </c:pt>
                <c:pt idx="909">
                  <c:v>33.639300000001512</c:v>
                </c:pt>
                <c:pt idx="910">
                  <c:v>33.639400000001515</c:v>
                </c:pt>
                <c:pt idx="911">
                  <c:v>33.639500000001519</c:v>
                </c:pt>
                <c:pt idx="912">
                  <c:v>33.639600000001522</c:v>
                </c:pt>
                <c:pt idx="913">
                  <c:v>33.639700000001525</c:v>
                </c:pt>
                <c:pt idx="914">
                  <c:v>33.639800000001529</c:v>
                </c:pt>
                <c:pt idx="915">
                  <c:v>33.639900000001532</c:v>
                </c:pt>
                <c:pt idx="916">
                  <c:v>33.640000000001535</c:v>
                </c:pt>
                <c:pt idx="917">
                  <c:v>33.640100000001539</c:v>
                </c:pt>
                <c:pt idx="918">
                  <c:v>33.640200000001542</c:v>
                </c:pt>
                <c:pt idx="919">
                  <c:v>33.640300000001545</c:v>
                </c:pt>
                <c:pt idx="920">
                  <c:v>33.640400000001549</c:v>
                </c:pt>
                <c:pt idx="921">
                  <c:v>33.640500000001552</c:v>
                </c:pt>
                <c:pt idx="922">
                  <c:v>33.640600000001555</c:v>
                </c:pt>
                <c:pt idx="923">
                  <c:v>33.640700000001559</c:v>
                </c:pt>
                <c:pt idx="924">
                  <c:v>33.640800000001562</c:v>
                </c:pt>
                <c:pt idx="925">
                  <c:v>33.640900000001565</c:v>
                </c:pt>
                <c:pt idx="926">
                  <c:v>33.641000000001569</c:v>
                </c:pt>
                <c:pt idx="927">
                  <c:v>33.641100000001572</c:v>
                </c:pt>
                <c:pt idx="928">
                  <c:v>33.641200000001575</c:v>
                </c:pt>
                <c:pt idx="929">
                  <c:v>33.641300000001578</c:v>
                </c:pt>
                <c:pt idx="930">
                  <c:v>33.641400000001582</c:v>
                </c:pt>
                <c:pt idx="931">
                  <c:v>33.641500000001585</c:v>
                </c:pt>
                <c:pt idx="932">
                  <c:v>33.641600000001588</c:v>
                </c:pt>
                <c:pt idx="933">
                  <c:v>33.641700000001592</c:v>
                </c:pt>
                <c:pt idx="934">
                  <c:v>33.641800000001595</c:v>
                </c:pt>
                <c:pt idx="935">
                  <c:v>33.641900000001598</c:v>
                </c:pt>
                <c:pt idx="936">
                  <c:v>33.642000000001602</c:v>
                </c:pt>
                <c:pt idx="937">
                  <c:v>33.642100000001605</c:v>
                </c:pt>
                <c:pt idx="938">
                  <c:v>33.642200000001608</c:v>
                </c:pt>
                <c:pt idx="939">
                  <c:v>33.642300000001612</c:v>
                </c:pt>
                <c:pt idx="940">
                  <c:v>33.642400000001615</c:v>
                </c:pt>
                <c:pt idx="941">
                  <c:v>33.642500000001618</c:v>
                </c:pt>
                <c:pt idx="942">
                  <c:v>33.642600000001622</c:v>
                </c:pt>
                <c:pt idx="943">
                  <c:v>33.642700000001625</c:v>
                </c:pt>
                <c:pt idx="944">
                  <c:v>33.642800000001628</c:v>
                </c:pt>
                <c:pt idx="945">
                  <c:v>33.642900000001632</c:v>
                </c:pt>
                <c:pt idx="946">
                  <c:v>33.643000000001635</c:v>
                </c:pt>
                <c:pt idx="947">
                  <c:v>33.643100000001638</c:v>
                </c:pt>
                <c:pt idx="948">
                  <c:v>33.643200000001642</c:v>
                </c:pt>
                <c:pt idx="949">
                  <c:v>33.643300000001645</c:v>
                </c:pt>
                <c:pt idx="950">
                  <c:v>33.643400000001648</c:v>
                </c:pt>
                <c:pt idx="951">
                  <c:v>33.643500000001652</c:v>
                </c:pt>
                <c:pt idx="952">
                  <c:v>33.643600000001655</c:v>
                </c:pt>
                <c:pt idx="953">
                  <c:v>33.643700000001658</c:v>
                </c:pt>
                <c:pt idx="954">
                  <c:v>33.643800000001661</c:v>
                </c:pt>
                <c:pt idx="955">
                  <c:v>33.643900000001665</c:v>
                </c:pt>
                <c:pt idx="956">
                  <c:v>33.644000000001668</c:v>
                </c:pt>
                <c:pt idx="957">
                  <c:v>33.644100000001671</c:v>
                </c:pt>
                <c:pt idx="958">
                  <c:v>33.644200000001675</c:v>
                </c:pt>
                <c:pt idx="959">
                  <c:v>33.644300000001678</c:v>
                </c:pt>
                <c:pt idx="960">
                  <c:v>33.644400000001681</c:v>
                </c:pt>
                <c:pt idx="961">
                  <c:v>33.644500000001685</c:v>
                </c:pt>
                <c:pt idx="962">
                  <c:v>33.644600000001688</c:v>
                </c:pt>
                <c:pt idx="963">
                  <c:v>33.644700000001691</c:v>
                </c:pt>
                <c:pt idx="964">
                  <c:v>33.644800000001695</c:v>
                </c:pt>
                <c:pt idx="965">
                  <c:v>33.644900000001698</c:v>
                </c:pt>
                <c:pt idx="966">
                  <c:v>33.645000000001701</c:v>
                </c:pt>
                <c:pt idx="967">
                  <c:v>33.645100000001705</c:v>
                </c:pt>
                <c:pt idx="968">
                  <c:v>33.645200000001708</c:v>
                </c:pt>
                <c:pt idx="969">
                  <c:v>33.645300000001711</c:v>
                </c:pt>
                <c:pt idx="970">
                  <c:v>33.645400000001715</c:v>
                </c:pt>
                <c:pt idx="971">
                  <c:v>33.645500000001718</c:v>
                </c:pt>
                <c:pt idx="972">
                  <c:v>33.645600000001721</c:v>
                </c:pt>
                <c:pt idx="973">
                  <c:v>33.645700000001725</c:v>
                </c:pt>
                <c:pt idx="974">
                  <c:v>33.645800000001728</c:v>
                </c:pt>
                <c:pt idx="975">
                  <c:v>33.645900000001731</c:v>
                </c:pt>
                <c:pt idx="976">
                  <c:v>33.646000000001735</c:v>
                </c:pt>
                <c:pt idx="977">
                  <c:v>33.646100000001738</c:v>
                </c:pt>
                <c:pt idx="978">
                  <c:v>33.646200000001741</c:v>
                </c:pt>
                <c:pt idx="979">
                  <c:v>33.646300000001744</c:v>
                </c:pt>
                <c:pt idx="980">
                  <c:v>33.646400000001748</c:v>
                </c:pt>
                <c:pt idx="981">
                  <c:v>33.646500000001751</c:v>
                </c:pt>
                <c:pt idx="982">
                  <c:v>33.646600000001754</c:v>
                </c:pt>
                <c:pt idx="983">
                  <c:v>33.646700000001758</c:v>
                </c:pt>
                <c:pt idx="984">
                  <c:v>33.646800000001761</c:v>
                </c:pt>
                <c:pt idx="985">
                  <c:v>33.646900000001764</c:v>
                </c:pt>
                <c:pt idx="986">
                  <c:v>33.647000000001768</c:v>
                </c:pt>
                <c:pt idx="987">
                  <c:v>33.647100000001771</c:v>
                </c:pt>
                <c:pt idx="988">
                  <c:v>33.647200000001774</c:v>
                </c:pt>
                <c:pt idx="989">
                  <c:v>33.647300000001778</c:v>
                </c:pt>
                <c:pt idx="990">
                  <c:v>33.647400000001781</c:v>
                </c:pt>
                <c:pt idx="991">
                  <c:v>33.647500000001784</c:v>
                </c:pt>
                <c:pt idx="992">
                  <c:v>33.647600000001788</c:v>
                </c:pt>
                <c:pt idx="993">
                  <c:v>33.647700000001791</c:v>
                </c:pt>
                <c:pt idx="994">
                  <c:v>33.647800000001794</c:v>
                </c:pt>
                <c:pt idx="995">
                  <c:v>33.647900000001798</c:v>
                </c:pt>
                <c:pt idx="996">
                  <c:v>33.648000000001801</c:v>
                </c:pt>
                <c:pt idx="997">
                  <c:v>33.648100000001804</c:v>
                </c:pt>
                <c:pt idx="998">
                  <c:v>33.648200000001808</c:v>
                </c:pt>
                <c:pt idx="999">
                  <c:v>33.648300000001811</c:v>
                </c:pt>
                <c:pt idx="1000">
                  <c:v>33.648400000001814</c:v>
                </c:pt>
              </c:numCache>
            </c:numRef>
          </c:xVal>
          <c:yVal>
            <c:numRef>
              <c:f>Calculs!$T$4:$T$1004</c:f>
              <c:numCache>
                <c:formatCode>0.00</c:formatCode>
                <c:ptCount val="1001"/>
                <c:pt idx="0">
                  <c:v>87.887789999999995</c:v>
                </c:pt>
                <c:pt idx="1">
                  <c:v>87.875924448031824</c:v>
                </c:pt>
                <c:pt idx="2">
                  <c:v>87.831048436341248</c:v>
                </c:pt>
                <c:pt idx="3">
                  <c:v>87.766099775511776</c:v>
                </c:pt>
                <c:pt idx="4">
                  <c:v>87.703295631912923</c:v>
                </c:pt>
                <c:pt idx="5">
                  <c:v>87.642636005544674</c:v>
                </c:pt>
                <c:pt idx="6">
                  <c:v>87.582839119502836</c:v>
                </c:pt>
                <c:pt idx="7">
                  <c:v>87.522623196883217</c:v>
                </c:pt>
                <c:pt idx="8">
                  <c:v>87.461988237685816</c:v>
                </c:pt>
                <c:pt idx="9">
                  <c:v>87.400934241910633</c:v>
                </c:pt>
                <c:pt idx="10">
                  <c:v>87.339461209557669</c:v>
                </c:pt>
                <c:pt idx="11">
                  <c:v>87.277701716626538</c:v>
                </c:pt>
                <c:pt idx="12">
                  <c:v>87.215788339116926</c:v>
                </c:pt>
                <c:pt idx="13">
                  <c:v>87.15372107702882</c:v>
                </c:pt>
                <c:pt idx="14">
                  <c:v>87.091499930362218</c:v>
                </c:pt>
                <c:pt idx="15">
                  <c:v>87.029124899117122</c:v>
                </c:pt>
                <c:pt idx="16">
                  <c:v>86.96659598329353</c:v>
                </c:pt>
                <c:pt idx="17">
                  <c:v>86.903913182891429</c:v>
                </c:pt>
                <c:pt idx="18">
                  <c:v>86.841076497910834</c:v>
                </c:pt>
                <c:pt idx="19">
                  <c:v>86.778085928351757</c:v>
                </c:pt>
                <c:pt idx="20">
                  <c:v>86.714941474214172</c:v>
                </c:pt>
                <c:pt idx="21">
                  <c:v>86.651695973060129</c:v>
                </c:pt>
                <c:pt idx="22">
                  <c:v>86.58840226245168</c:v>
                </c:pt>
                <c:pt idx="23">
                  <c:v>86.525060342388812</c:v>
                </c:pt>
                <c:pt idx="24">
                  <c:v>86.46167021287151</c:v>
                </c:pt>
                <c:pt idx="25">
                  <c:v>86.398231873899803</c:v>
                </c:pt>
                <c:pt idx="26">
                  <c:v>86.334745325473691</c:v>
                </c:pt>
                <c:pt idx="27">
                  <c:v>86.271210567593158</c:v>
                </c:pt>
                <c:pt idx="28">
                  <c:v>86.207627600258206</c:v>
                </c:pt>
                <c:pt idx="29">
                  <c:v>86.143996423468849</c:v>
                </c:pt>
                <c:pt idx="30">
                  <c:v>86.080317037225058</c:v>
                </c:pt>
                <c:pt idx="31">
                  <c:v>86.016589441526861</c:v>
                </c:pt>
                <c:pt idx="32">
                  <c:v>85.952813636374231</c:v>
                </c:pt>
                <c:pt idx="33">
                  <c:v>85.888989621767195</c:v>
                </c:pt>
                <c:pt idx="34">
                  <c:v>85.825117397705753</c:v>
                </c:pt>
                <c:pt idx="35">
                  <c:v>85.761196964189892</c:v>
                </c:pt>
                <c:pt idx="36">
                  <c:v>85.697228321219612</c:v>
                </c:pt>
                <c:pt idx="37">
                  <c:v>85.633211468794912</c:v>
                </c:pt>
                <c:pt idx="38">
                  <c:v>85.569146406915806</c:v>
                </c:pt>
                <c:pt idx="39">
                  <c:v>85.505033135582266</c:v>
                </c:pt>
                <c:pt idx="40">
                  <c:v>85.440871654794307</c:v>
                </c:pt>
                <c:pt idx="41">
                  <c:v>85.376702526781656</c:v>
                </c:pt>
                <c:pt idx="42">
                  <c:v>85.312566313773999</c:v>
                </c:pt>
                <c:pt idx="43">
                  <c:v>85.24846301577135</c:v>
                </c:pt>
                <c:pt idx="44">
                  <c:v>85.184392632773708</c:v>
                </c:pt>
                <c:pt idx="45">
                  <c:v>85.120355164781074</c:v>
                </c:pt>
                <c:pt idx="46">
                  <c:v>85.056350611793434</c:v>
                </c:pt>
                <c:pt idx="47">
                  <c:v>84.992378973810787</c:v>
                </c:pt>
                <c:pt idx="48">
                  <c:v>84.928440250833148</c:v>
                </c:pt>
                <c:pt idx="49">
                  <c:v>84.864534442860517</c:v>
                </c:pt>
                <c:pt idx="50">
                  <c:v>84.800661549892894</c:v>
                </c:pt>
                <c:pt idx="51">
                  <c:v>84.736821571930264</c:v>
                </c:pt>
                <c:pt idx="52">
                  <c:v>84.673014508972642</c:v>
                </c:pt>
                <c:pt idx="53">
                  <c:v>84.609240361020014</c:v>
                </c:pt>
                <c:pt idx="54">
                  <c:v>84.545499128072393</c:v>
                </c:pt>
                <c:pt idx="55">
                  <c:v>84.481790810129766</c:v>
                </c:pt>
                <c:pt idx="56">
                  <c:v>84.418115407192161</c:v>
                </c:pt>
                <c:pt idx="57">
                  <c:v>84.354472919259564</c:v>
                </c:pt>
                <c:pt idx="58">
                  <c:v>84.290863346331946</c:v>
                </c:pt>
                <c:pt idx="59">
                  <c:v>84.227286688409336</c:v>
                </c:pt>
                <c:pt idx="60">
                  <c:v>84.16374294549172</c:v>
                </c:pt>
                <c:pt idx="61">
                  <c:v>84.100232117579125</c:v>
                </c:pt>
                <c:pt idx="62">
                  <c:v>84.036754204671524</c:v>
                </c:pt>
                <c:pt idx="63">
                  <c:v>83.973309206768946</c:v>
                </c:pt>
                <c:pt idx="64">
                  <c:v>83.909897123871346</c:v>
                </c:pt>
                <c:pt idx="65">
                  <c:v>83.846517955978754</c:v>
                </c:pt>
                <c:pt idx="66">
                  <c:v>83.783171703091156</c:v>
                </c:pt>
                <c:pt idx="67">
                  <c:v>83.71985836520858</c:v>
                </c:pt>
                <c:pt idx="68">
                  <c:v>83.656577942330998</c:v>
                </c:pt>
                <c:pt idx="69">
                  <c:v>83.593330434458423</c:v>
                </c:pt>
                <c:pt idx="70">
                  <c:v>83.530115841590842</c:v>
                </c:pt>
                <c:pt idx="71">
                  <c:v>83.466934163728254</c:v>
                </c:pt>
                <c:pt idx="72">
                  <c:v>83.403785400870689</c:v>
                </c:pt>
                <c:pt idx="73">
                  <c:v>83.340669553018117</c:v>
                </c:pt>
                <c:pt idx="74">
                  <c:v>83.277586620170553</c:v>
                </c:pt>
                <c:pt idx="75">
                  <c:v>83.214536602327996</c:v>
                </c:pt>
                <c:pt idx="76">
                  <c:v>83.151519499490433</c:v>
                </c:pt>
                <c:pt idx="77">
                  <c:v>83.088535311657864</c:v>
                </c:pt>
                <c:pt idx="78">
                  <c:v>83.025584038830317</c:v>
                </c:pt>
                <c:pt idx="79">
                  <c:v>82.962665681007763</c:v>
                </c:pt>
                <c:pt idx="80">
                  <c:v>82.899780238190218</c:v>
                </c:pt>
                <c:pt idx="81">
                  <c:v>82.836967802565198</c:v>
                </c:pt>
                <c:pt idx="82">
                  <c:v>82.774268466320237</c:v>
                </c:pt>
                <c:pt idx="83">
                  <c:v>82.71168222945532</c:v>
                </c:pt>
                <c:pt idx="84">
                  <c:v>82.649209091970476</c:v>
                </c:pt>
                <c:pt idx="85">
                  <c:v>82.586849053865706</c:v>
                </c:pt>
                <c:pt idx="86">
                  <c:v>82.524602115141008</c:v>
                </c:pt>
                <c:pt idx="87">
                  <c:v>82.462468275796354</c:v>
                </c:pt>
                <c:pt idx="88">
                  <c:v>82.400447535831759</c:v>
                </c:pt>
                <c:pt idx="89">
                  <c:v>82.338539895247223</c:v>
                </c:pt>
                <c:pt idx="90">
                  <c:v>82.27674535404276</c:v>
                </c:pt>
                <c:pt idx="91">
                  <c:v>82.215081508669201</c:v>
                </c:pt>
                <c:pt idx="92">
                  <c:v>82.15356595557742</c:v>
                </c:pt>
                <c:pt idx="93">
                  <c:v>82.092198694767433</c:v>
                </c:pt>
                <c:pt idx="94">
                  <c:v>82.030979726239238</c:v>
                </c:pt>
                <c:pt idx="95">
                  <c:v>81.969909049992822</c:v>
                </c:pt>
                <c:pt idx="96">
                  <c:v>81.908986666028198</c:v>
                </c:pt>
                <c:pt idx="97">
                  <c:v>81.848212574345354</c:v>
                </c:pt>
                <c:pt idx="98">
                  <c:v>81.787586774944288</c:v>
                </c:pt>
                <c:pt idx="99">
                  <c:v>81.727109267825</c:v>
                </c:pt>
                <c:pt idx="100">
                  <c:v>81.666780052987505</c:v>
                </c:pt>
                <c:pt idx="101">
                  <c:v>81.60660192658014</c:v>
                </c:pt>
                <c:pt idx="102">
                  <c:v>81.546577684751284</c:v>
                </c:pt>
                <c:pt idx="103">
                  <c:v>81.486707327500937</c:v>
                </c:pt>
                <c:pt idx="104">
                  <c:v>81.426990854829072</c:v>
                </c:pt>
                <c:pt idx="105">
                  <c:v>81.367428266735701</c:v>
                </c:pt>
                <c:pt idx="106">
                  <c:v>81.308019563220824</c:v>
                </c:pt>
                <c:pt idx="107">
                  <c:v>81.248764744284443</c:v>
                </c:pt>
                <c:pt idx="108">
                  <c:v>81.189663809926557</c:v>
                </c:pt>
                <c:pt idx="109">
                  <c:v>81.13071676014718</c:v>
                </c:pt>
                <c:pt idx="110">
                  <c:v>81.071923594946298</c:v>
                </c:pt>
                <c:pt idx="111">
                  <c:v>81.013252327350898</c:v>
                </c:pt>
                <c:pt idx="112">
                  <c:v>80.954670970387994</c:v>
                </c:pt>
                <c:pt idx="113">
                  <c:v>80.896179524057573</c:v>
                </c:pt>
                <c:pt idx="114">
                  <c:v>80.837777988359633</c:v>
                </c:pt>
                <c:pt idx="115">
                  <c:v>80.779466363294176</c:v>
                </c:pt>
                <c:pt idx="116">
                  <c:v>80.721244648861216</c:v>
                </c:pt>
                <c:pt idx="117">
                  <c:v>80.663112845060738</c:v>
                </c:pt>
                <c:pt idx="118">
                  <c:v>80.605070951892742</c:v>
                </c:pt>
                <c:pt idx="119">
                  <c:v>80.547118969357228</c:v>
                </c:pt>
                <c:pt idx="120">
                  <c:v>80.489256897454226</c:v>
                </c:pt>
                <c:pt idx="121">
                  <c:v>80.431537453222077</c:v>
                </c:pt>
                <c:pt idx="122">
                  <c:v>80.37401335369924</c:v>
                </c:pt>
                <c:pt idx="123">
                  <c:v>80.316684598885701</c:v>
                </c:pt>
                <c:pt idx="124">
                  <c:v>80.259551188781472</c:v>
                </c:pt>
                <c:pt idx="125">
                  <c:v>80.202613123386513</c:v>
                </c:pt>
                <c:pt idx="126">
                  <c:v>80.145870402700851</c:v>
                </c:pt>
                <c:pt idx="127">
                  <c:v>80.0893230267245</c:v>
                </c:pt>
                <c:pt idx="128">
                  <c:v>80.032970995457418</c:v>
                </c:pt>
                <c:pt idx="129">
                  <c:v>79.976814308899648</c:v>
                </c:pt>
                <c:pt idx="130">
                  <c:v>79.920852967051161</c:v>
                </c:pt>
                <c:pt idx="131">
                  <c:v>79.865100685501758</c:v>
                </c:pt>
                <c:pt idx="132">
                  <c:v>79.809571179841214</c:v>
                </c:pt>
                <c:pt idx="133">
                  <c:v>79.754264450069527</c:v>
                </c:pt>
                <c:pt idx="134">
                  <c:v>79.699180496186699</c:v>
                </c:pt>
                <c:pt idx="135">
                  <c:v>79.644319318192714</c:v>
                </c:pt>
                <c:pt idx="136">
                  <c:v>79.589680916087588</c:v>
                </c:pt>
                <c:pt idx="137">
                  <c:v>79.535265289871319</c:v>
                </c:pt>
                <c:pt idx="138">
                  <c:v>79.481072439543922</c:v>
                </c:pt>
                <c:pt idx="139">
                  <c:v>79.42710236510537</c:v>
                </c:pt>
                <c:pt idx="140">
                  <c:v>79.373355066555689</c:v>
                </c:pt>
                <c:pt idx="141">
                  <c:v>79.319993548095141</c:v>
                </c:pt>
                <c:pt idx="142">
                  <c:v>79.267180813924043</c:v>
                </c:pt>
                <c:pt idx="143">
                  <c:v>79.21491686404238</c:v>
                </c:pt>
                <c:pt idx="144">
                  <c:v>79.163201698450152</c:v>
                </c:pt>
                <c:pt idx="145">
                  <c:v>79.112035317147345</c:v>
                </c:pt>
                <c:pt idx="146">
                  <c:v>79.061417720133988</c:v>
                </c:pt>
                <c:pt idx="147">
                  <c:v>79.011348907410067</c:v>
                </c:pt>
                <c:pt idx="148">
                  <c:v>78.961828878975595</c:v>
                </c:pt>
                <c:pt idx="149">
                  <c:v>78.912857634830559</c:v>
                </c:pt>
                <c:pt idx="150">
                  <c:v>78.864435174974957</c:v>
                </c:pt>
                <c:pt idx="151">
                  <c:v>78.816561499408778</c:v>
                </c:pt>
                <c:pt idx="152">
                  <c:v>78.769236608132047</c:v>
                </c:pt>
                <c:pt idx="153">
                  <c:v>78.722460501144752</c:v>
                </c:pt>
                <c:pt idx="154">
                  <c:v>78.676233178446893</c:v>
                </c:pt>
                <c:pt idx="155">
                  <c:v>78.630554640038483</c:v>
                </c:pt>
                <c:pt idx="156">
                  <c:v>78.586190564544353</c:v>
                </c:pt>
                <c:pt idx="157">
                  <c:v>78.543906630589376</c:v>
                </c:pt>
                <c:pt idx="158">
                  <c:v>78.503702838173552</c:v>
                </c:pt>
                <c:pt idx="159">
                  <c:v>78.465579187296882</c:v>
                </c:pt>
                <c:pt idx="160">
                  <c:v>78.42953567795935</c:v>
                </c:pt>
                <c:pt idx="161">
                  <c:v>78.396543778876904</c:v>
                </c:pt>
                <c:pt idx="162">
                  <c:v>78.367574958765502</c:v>
                </c:pt>
                <c:pt idx="163">
                  <c:v>78.342536655472642</c:v>
                </c:pt>
                <c:pt idx="164">
                  <c:v>78.321336306845851</c:v>
                </c:pt>
                <c:pt idx="165">
                  <c:v>78.303046724553084</c:v>
                </c:pt>
                <c:pt idx="166">
                  <c:v>78.286740720262259</c:v>
                </c:pt>
                <c:pt idx="167">
                  <c:v>78.273122995673319</c:v>
                </c:pt>
                <c:pt idx="168">
                  <c:v>78.262388437505734</c:v>
                </c:pt>
                <c:pt idx="169">
                  <c:v>78.255992248141069</c:v>
                </c:pt>
                <c:pt idx="170">
                  <c:v>78.254369999999966</c:v>
                </c:pt>
                <c:pt idx="171">
                  <c:v>78.254369999999966</c:v>
                </c:pt>
                <c:pt idx="172">
                  <c:v>78.254369999999966</c:v>
                </c:pt>
                <c:pt idx="173">
                  <c:v>78.254369999999966</c:v>
                </c:pt>
                <c:pt idx="174">
                  <c:v>78.254369999999966</c:v>
                </c:pt>
                <c:pt idx="175">
                  <c:v>78.254369999999966</c:v>
                </c:pt>
                <c:pt idx="176">
                  <c:v>78.254369999999966</c:v>
                </c:pt>
                <c:pt idx="177">
                  <c:v>78.254369999999966</c:v>
                </c:pt>
                <c:pt idx="178">
                  <c:v>78.254369999999966</c:v>
                </c:pt>
                <c:pt idx="179">
                  <c:v>78.254369999999966</c:v>
                </c:pt>
                <c:pt idx="180">
                  <c:v>78.254369999999966</c:v>
                </c:pt>
                <c:pt idx="181">
                  <c:v>78.254369999999966</c:v>
                </c:pt>
                <c:pt idx="182">
                  <c:v>78.254369999999966</c:v>
                </c:pt>
                <c:pt idx="183">
                  <c:v>78.254369999999966</c:v>
                </c:pt>
                <c:pt idx="184">
                  <c:v>78.254369999999966</c:v>
                </c:pt>
                <c:pt idx="185">
                  <c:v>78.254369999999966</c:v>
                </c:pt>
                <c:pt idx="186">
                  <c:v>78.254369999999966</c:v>
                </c:pt>
                <c:pt idx="187">
                  <c:v>78.254369999999966</c:v>
                </c:pt>
                <c:pt idx="188">
                  <c:v>78.254369999999966</c:v>
                </c:pt>
                <c:pt idx="189">
                  <c:v>78.254369999999966</c:v>
                </c:pt>
                <c:pt idx="190">
                  <c:v>78.254369999999966</c:v>
                </c:pt>
                <c:pt idx="191">
                  <c:v>78.254369999999966</c:v>
                </c:pt>
                <c:pt idx="192">
                  <c:v>78.254369999999966</c:v>
                </c:pt>
                <c:pt idx="193">
                  <c:v>78.254369999999966</c:v>
                </c:pt>
                <c:pt idx="194">
                  <c:v>78.254369999999966</c:v>
                </c:pt>
                <c:pt idx="195">
                  <c:v>78.254369999999966</c:v>
                </c:pt>
                <c:pt idx="196">
                  <c:v>78.254369999999966</c:v>
                </c:pt>
                <c:pt idx="197">
                  <c:v>78.254369999999966</c:v>
                </c:pt>
                <c:pt idx="198">
                  <c:v>78.254369999999966</c:v>
                </c:pt>
                <c:pt idx="199">
                  <c:v>78.254369999999966</c:v>
                </c:pt>
                <c:pt idx="200">
                  <c:v>78.254369999999966</c:v>
                </c:pt>
                <c:pt idx="201">
                  <c:v>78.254369999999966</c:v>
                </c:pt>
                <c:pt idx="202">
                  <c:v>78.254369999999966</c:v>
                </c:pt>
                <c:pt idx="203">
                  <c:v>78.254369999999966</c:v>
                </c:pt>
                <c:pt idx="204">
                  <c:v>78.254369999999966</c:v>
                </c:pt>
                <c:pt idx="205">
                  <c:v>78.254369999999966</c:v>
                </c:pt>
                <c:pt idx="206">
                  <c:v>78.254369999999966</c:v>
                </c:pt>
                <c:pt idx="207">
                  <c:v>78.254369999999966</c:v>
                </c:pt>
                <c:pt idx="208">
                  <c:v>78.254369999999966</c:v>
                </c:pt>
                <c:pt idx="209">
                  <c:v>78.254369999999966</c:v>
                </c:pt>
                <c:pt idx="210">
                  <c:v>78.254369999999966</c:v>
                </c:pt>
                <c:pt idx="211">
                  <c:v>78.254369999999966</c:v>
                </c:pt>
                <c:pt idx="212">
                  <c:v>78.254369999999966</c:v>
                </c:pt>
                <c:pt idx="213">
                  <c:v>78.254369999999966</c:v>
                </c:pt>
                <c:pt idx="214">
                  <c:v>78.254369999999966</c:v>
                </c:pt>
                <c:pt idx="215">
                  <c:v>78.254369999999966</c:v>
                </c:pt>
                <c:pt idx="216">
                  <c:v>78.254369999999966</c:v>
                </c:pt>
                <c:pt idx="217">
                  <c:v>78.254369999999966</c:v>
                </c:pt>
                <c:pt idx="218">
                  <c:v>78.254369999999966</c:v>
                </c:pt>
                <c:pt idx="219">
                  <c:v>78.254369999999966</c:v>
                </c:pt>
                <c:pt idx="220">
                  <c:v>78.254369999999966</c:v>
                </c:pt>
                <c:pt idx="221">
                  <c:v>78.254369999999966</c:v>
                </c:pt>
                <c:pt idx="222">
                  <c:v>78.254369999999966</c:v>
                </c:pt>
                <c:pt idx="223">
                  <c:v>78.254369999999966</c:v>
                </c:pt>
                <c:pt idx="224">
                  <c:v>78.254369999999966</c:v>
                </c:pt>
                <c:pt idx="225">
                  <c:v>78.254369999999966</c:v>
                </c:pt>
                <c:pt idx="226">
                  <c:v>78.254369999999966</c:v>
                </c:pt>
                <c:pt idx="227">
                  <c:v>78.254369999999966</c:v>
                </c:pt>
                <c:pt idx="228">
                  <c:v>78.254369999999966</c:v>
                </c:pt>
                <c:pt idx="229">
                  <c:v>78.254369999999966</c:v>
                </c:pt>
                <c:pt idx="230">
                  <c:v>78.254369999999966</c:v>
                </c:pt>
                <c:pt idx="231">
                  <c:v>78.254369999999966</c:v>
                </c:pt>
                <c:pt idx="232">
                  <c:v>78.254369999999966</c:v>
                </c:pt>
                <c:pt idx="233">
                  <c:v>78.254369999999966</c:v>
                </c:pt>
                <c:pt idx="234">
                  <c:v>78.254369999999966</c:v>
                </c:pt>
                <c:pt idx="235">
                  <c:v>78.254369999999966</c:v>
                </c:pt>
                <c:pt idx="236">
                  <c:v>78.254369999999966</c:v>
                </c:pt>
                <c:pt idx="237">
                  <c:v>78.254369999999966</c:v>
                </c:pt>
                <c:pt idx="238">
                  <c:v>78.254369999999966</c:v>
                </c:pt>
                <c:pt idx="239">
                  <c:v>78.254369999999966</c:v>
                </c:pt>
                <c:pt idx="240">
                  <c:v>78.254369999999966</c:v>
                </c:pt>
                <c:pt idx="241">
                  <c:v>78.254369999999966</c:v>
                </c:pt>
                <c:pt idx="242">
                  <c:v>78.254369999999966</c:v>
                </c:pt>
                <c:pt idx="243">
                  <c:v>78.254369999999966</c:v>
                </c:pt>
                <c:pt idx="244">
                  <c:v>78.254369999999966</c:v>
                </c:pt>
                <c:pt idx="245">
                  <c:v>78.254369999999966</c:v>
                </c:pt>
                <c:pt idx="246">
                  <c:v>78.254369999999966</c:v>
                </c:pt>
                <c:pt idx="247">
                  <c:v>78.254369999999966</c:v>
                </c:pt>
                <c:pt idx="248">
                  <c:v>78.254369999999966</c:v>
                </c:pt>
                <c:pt idx="249">
                  <c:v>78.254369999999966</c:v>
                </c:pt>
                <c:pt idx="250">
                  <c:v>78.254369999999966</c:v>
                </c:pt>
                <c:pt idx="251">
                  <c:v>78.254369999999966</c:v>
                </c:pt>
                <c:pt idx="252">
                  <c:v>78.254369999999966</c:v>
                </c:pt>
                <c:pt idx="253">
                  <c:v>78.254369999999966</c:v>
                </c:pt>
                <c:pt idx="254">
                  <c:v>78.254369999999966</c:v>
                </c:pt>
                <c:pt idx="255">
                  <c:v>78.254369999999966</c:v>
                </c:pt>
                <c:pt idx="256">
                  <c:v>78.254369999999966</c:v>
                </c:pt>
                <c:pt idx="257">
                  <c:v>78.254369999999966</c:v>
                </c:pt>
                <c:pt idx="258">
                  <c:v>78.254369999999966</c:v>
                </c:pt>
                <c:pt idx="259">
                  <c:v>78.254369999999966</c:v>
                </c:pt>
                <c:pt idx="260">
                  <c:v>78.254369999999966</c:v>
                </c:pt>
                <c:pt idx="261">
                  <c:v>78.254369999999966</c:v>
                </c:pt>
                <c:pt idx="262">
                  <c:v>78.254369999999966</c:v>
                </c:pt>
                <c:pt idx="263">
                  <c:v>78.254369999999966</c:v>
                </c:pt>
                <c:pt idx="264">
                  <c:v>78.254369999999966</c:v>
                </c:pt>
                <c:pt idx="265">
                  <c:v>78.254369999999966</c:v>
                </c:pt>
                <c:pt idx="266">
                  <c:v>78.254369999999966</c:v>
                </c:pt>
                <c:pt idx="267">
                  <c:v>78.254369999999966</c:v>
                </c:pt>
                <c:pt idx="268">
                  <c:v>78.254369999999966</c:v>
                </c:pt>
                <c:pt idx="269">
                  <c:v>78.254369999999966</c:v>
                </c:pt>
                <c:pt idx="270">
                  <c:v>78.254369999999966</c:v>
                </c:pt>
                <c:pt idx="271">
                  <c:v>78.254369999999966</c:v>
                </c:pt>
                <c:pt idx="272">
                  <c:v>78.254369999999966</c:v>
                </c:pt>
                <c:pt idx="273">
                  <c:v>78.254369999999966</c:v>
                </c:pt>
                <c:pt idx="274">
                  <c:v>78.254369999999966</c:v>
                </c:pt>
                <c:pt idx="275">
                  <c:v>78.254369999999966</c:v>
                </c:pt>
                <c:pt idx="276">
                  <c:v>78.254369999999966</c:v>
                </c:pt>
                <c:pt idx="277">
                  <c:v>78.254369999999966</c:v>
                </c:pt>
                <c:pt idx="278">
                  <c:v>78.254369999999966</c:v>
                </c:pt>
                <c:pt idx="279">
                  <c:v>78.254369999999966</c:v>
                </c:pt>
                <c:pt idx="280">
                  <c:v>78.254369999999966</c:v>
                </c:pt>
                <c:pt idx="281">
                  <c:v>78.254369999999966</c:v>
                </c:pt>
                <c:pt idx="282">
                  <c:v>78.254369999999966</c:v>
                </c:pt>
                <c:pt idx="283">
                  <c:v>78.254369999999966</c:v>
                </c:pt>
                <c:pt idx="284">
                  <c:v>78.254369999999966</c:v>
                </c:pt>
                <c:pt idx="285">
                  <c:v>78.254369999999966</c:v>
                </c:pt>
                <c:pt idx="286">
                  <c:v>78.254369999999966</c:v>
                </c:pt>
                <c:pt idx="287">
                  <c:v>78.254369999999966</c:v>
                </c:pt>
                <c:pt idx="288">
                  <c:v>78.254369999999966</c:v>
                </c:pt>
                <c:pt idx="289">
                  <c:v>78.254369999999966</c:v>
                </c:pt>
                <c:pt idx="290">
                  <c:v>78.254369999999966</c:v>
                </c:pt>
                <c:pt idx="291">
                  <c:v>78.254369999999966</c:v>
                </c:pt>
                <c:pt idx="292">
                  <c:v>78.254369999999966</c:v>
                </c:pt>
                <c:pt idx="293">
                  <c:v>78.254369999999966</c:v>
                </c:pt>
                <c:pt idx="294">
                  <c:v>78.254369999999966</c:v>
                </c:pt>
                <c:pt idx="295">
                  <c:v>78.254369999999966</c:v>
                </c:pt>
                <c:pt idx="296">
                  <c:v>78.254369999999966</c:v>
                </c:pt>
                <c:pt idx="297">
                  <c:v>78.254369999999966</c:v>
                </c:pt>
                <c:pt idx="298">
                  <c:v>78.254369999999966</c:v>
                </c:pt>
                <c:pt idx="299">
                  <c:v>78.254369999999966</c:v>
                </c:pt>
                <c:pt idx="300">
                  <c:v>78.254369999999966</c:v>
                </c:pt>
                <c:pt idx="301">
                  <c:v>78.254369999999966</c:v>
                </c:pt>
                <c:pt idx="302">
                  <c:v>78.254369999999966</c:v>
                </c:pt>
                <c:pt idx="303">
                  <c:v>78.254369999999966</c:v>
                </c:pt>
                <c:pt idx="304">
                  <c:v>78.254369999999966</c:v>
                </c:pt>
                <c:pt idx="305">
                  <c:v>78.254369999999966</c:v>
                </c:pt>
                <c:pt idx="306">
                  <c:v>78.254369999999966</c:v>
                </c:pt>
                <c:pt idx="307">
                  <c:v>78.254369999999966</c:v>
                </c:pt>
                <c:pt idx="308">
                  <c:v>78.254369999999966</c:v>
                </c:pt>
                <c:pt idx="309">
                  <c:v>78.254369999999966</c:v>
                </c:pt>
                <c:pt idx="310">
                  <c:v>78.254369999999966</c:v>
                </c:pt>
                <c:pt idx="311">
                  <c:v>78.254369999999966</c:v>
                </c:pt>
                <c:pt idx="312">
                  <c:v>78.254369999999966</c:v>
                </c:pt>
                <c:pt idx="313">
                  <c:v>78.254369999999966</c:v>
                </c:pt>
                <c:pt idx="314">
                  <c:v>78.254369999999966</c:v>
                </c:pt>
                <c:pt idx="315">
                  <c:v>78.254369999999966</c:v>
                </c:pt>
                <c:pt idx="316">
                  <c:v>78.254369999999966</c:v>
                </c:pt>
                <c:pt idx="317">
                  <c:v>78.254369999999966</c:v>
                </c:pt>
                <c:pt idx="318">
                  <c:v>78.254369999999966</c:v>
                </c:pt>
                <c:pt idx="319">
                  <c:v>78.254369999999966</c:v>
                </c:pt>
                <c:pt idx="320">
                  <c:v>78.254369999999966</c:v>
                </c:pt>
                <c:pt idx="321">
                  <c:v>78.254369999999966</c:v>
                </c:pt>
                <c:pt idx="322">
                  <c:v>78.254369999999966</c:v>
                </c:pt>
                <c:pt idx="323">
                  <c:v>78.254369999999966</c:v>
                </c:pt>
                <c:pt idx="324">
                  <c:v>78.254369999999966</c:v>
                </c:pt>
                <c:pt idx="325">
                  <c:v>78.254369999999966</c:v>
                </c:pt>
                <c:pt idx="326">
                  <c:v>78.254369999999966</c:v>
                </c:pt>
                <c:pt idx="327">
                  <c:v>78.254369999999966</c:v>
                </c:pt>
                <c:pt idx="328">
                  <c:v>78.254369999999966</c:v>
                </c:pt>
                <c:pt idx="329">
                  <c:v>78.254369999999966</c:v>
                </c:pt>
                <c:pt idx="330">
                  <c:v>78.254369999999966</c:v>
                </c:pt>
                <c:pt idx="331">
                  <c:v>78.254369999999966</c:v>
                </c:pt>
                <c:pt idx="332">
                  <c:v>78.254369999999966</c:v>
                </c:pt>
                <c:pt idx="333">
                  <c:v>78.254369999999966</c:v>
                </c:pt>
                <c:pt idx="334">
                  <c:v>78.254369999999966</c:v>
                </c:pt>
                <c:pt idx="335">
                  <c:v>78.254369999999966</c:v>
                </c:pt>
                <c:pt idx="336">
                  <c:v>78.254369999999966</c:v>
                </c:pt>
                <c:pt idx="337">
                  <c:v>78.254369999999966</c:v>
                </c:pt>
                <c:pt idx="338">
                  <c:v>78.254369999999966</c:v>
                </c:pt>
                <c:pt idx="339">
                  <c:v>78.254369999999966</c:v>
                </c:pt>
                <c:pt idx="340">
                  <c:v>78.254369999999966</c:v>
                </c:pt>
                <c:pt idx="341">
                  <c:v>78.254369999999966</c:v>
                </c:pt>
                <c:pt idx="342">
                  <c:v>78.254369999999966</c:v>
                </c:pt>
                <c:pt idx="343">
                  <c:v>78.254369999999966</c:v>
                </c:pt>
                <c:pt idx="344">
                  <c:v>78.254369999999966</c:v>
                </c:pt>
                <c:pt idx="345">
                  <c:v>78.254369999999966</c:v>
                </c:pt>
                <c:pt idx="346">
                  <c:v>78.254369999999966</c:v>
                </c:pt>
                <c:pt idx="347">
                  <c:v>78.254369999999966</c:v>
                </c:pt>
                <c:pt idx="348">
                  <c:v>78.254369999999966</c:v>
                </c:pt>
                <c:pt idx="349">
                  <c:v>78.254369999999966</c:v>
                </c:pt>
                <c:pt idx="350">
                  <c:v>78.254369999999966</c:v>
                </c:pt>
                <c:pt idx="351">
                  <c:v>78.254369999999966</c:v>
                </c:pt>
                <c:pt idx="352">
                  <c:v>78.254369999999966</c:v>
                </c:pt>
                <c:pt idx="353">
                  <c:v>78.254369999999966</c:v>
                </c:pt>
                <c:pt idx="354">
                  <c:v>78.254369999999966</c:v>
                </c:pt>
                <c:pt idx="355">
                  <c:v>78.254369999999966</c:v>
                </c:pt>
                <c:pt idx="356">
                  <c:v>78.254369999999966</c:v>
                </c:pt>
                <c:pt idx="357">
                  <c:v>78.254369999999966</c:v>
                </c:pt>
                <c:pt idx="358">
                  <c:v>78.254369999999966</c:v>
                </c:pt>
                <c:pt idx="359">
                  <c:v>78.254369999999966</c:v>
                </c:pt>
                <c:pt idx="360">
                  <c:v>78.254369999999966</c:v>
                </c:pt>
                <c:pt idx="361">
                  <c:v>78.254369999999966</c:v>
                </c:pt>
                <c:pt idx="362">
                  <c:v>78.254369999999966</c:v>
                </c:pt>
                <c:pt idx="363">
                  <c:v>78.254369999999966</c:v>
                </c:pt>
                <c:pt idx="364">
                  <c:v>78.254369999999966</c:v>
                </c:pt>
                <c:pt idx="365">
                  <c:v>78.254369999999966</c:v>
                </c:pt>
                <c:pt idx="366">
                  <c:v>78.254369999999966</c:v>
                </c:pt>
                <c:pt idx="367">
                  <c:v>78.254369999999966</c:v>
                </c:pt>
                <c:pt idx="368">
                  <c:v>78.254369999999966</c:v>
                </c:pt>
                <c:pt idx="369">
                  <c:v>78.254369999999966</c:v>
                </c:pt>
                <c:pt idx="370">
                  <c:v>78.254369999999966</c:v>
                </c:pt>
                <c:pt idx="371">
                  <c:v>78.254369999999966</c:v>
                </c:pt>
                <c:pt idx="372">
                  <c:v>78.254369999999966</c:v>
                </c:pt>
                <c:pt idx="373">
                  <c:v>78.254369999999966</c:v>
                </c:pt>
                <c:pt idx="374">
                  <c:v>78.254369999999966</c:v>
                </c:pt>
                <c:pt idx="375">
                  <c:v>78.254369999999966</c:v>
                </c:pt>
                <c:pt idx="376">
                  <c:v>78.254369999999966</c:v>
                </c:pt>
                <c:pt idx="377">
                  <c:v>78.254369999999966</c:v>
                </c:pt>
                <c:pt idx="378">
                  <c:v>78.254369999999966</c:v>
                </c:pt>
                <c:pt idx="379">
                  <c:v>78.254369999999966</c:v>
                </c:pt>
                <c:pt idx="380">
                  <c:v>78.254369999999966</c:v>
                </c:pt>
                <c:pt idx="381">
                  <c:v>78.254369999999966</c:v>
                </c:pt>
                <c:pt idx="382">
                  <c:v>78.254369999999966</c:v>
                </c:pt>
                <c:pt idx="383">
                  <c:v>78.254369999999966</c:v>
                </c:pt>
                <c:pt idx="384">
                  <c:v>78.254369999999966</c:v>
                </c:pt>
                <c:pt idx="385">
                  <c:v>78.254369999999966</c:v>
                </c:pt>
                <c:pt idx="386">
                  <c:v>78.254369999999966</c:v>
                </c:pt>
                <c:pt idx="387">
                  <c:v>78.254369999999966</c:v>
                </c:pt>
                <c:pt idx="388">
                  <c:v>78.254369999999966</c:v>
                </c:pt>
                <c:pt idx="389">
                  <c:v>78.254369999999966</c:v>
                </c:pt>
                <c:pt idx="390">
                  <c:v>78.254369999999966</c:v>
                </c:pt>
                <c:pt idx="391">
                  <c:v>78.254369999999966</c:v>
                </c:pt>
                <c:pt idx="392">
                  <c:v>78.254369999999966</c:v>
                </c:pt>
                <c:pt idx="393">
                  <c:v>78.254369999999966</c:v>
                </c:pt>
                <c:pt idx="394">
                  <c:v>78.254369999999966</c:v>
                </c:pt>
                <c:pt idx="395">
                  <c:v>78.254369999999966</c:v>
                </c:pt>
                <c:pt idx="396">
                  <c:v>78.254369999999966</c:v>
                </c:pt>
                <c:pt idx="397">
                  <c:v>78.254369999999966</c:v>
                </c:pt>
                <c:pt idx="398">
                  <c:v>78.254369999999966</c:v>
                </c:pt>
                <c:pt idx="399">
                  <c:v>78.254369999999966</c:v>
                </c:pt>
                <c:pt idx="400">
                  <c:v>78.254369999999966</c:v>
                </c:pt>
                <c:pt idx="401">
                  <c:v>78.254369999999966</c:v>
                </c:pt>
                <c:pt idx="402">
                  <c:v>78.254369999999966</c:v>
                </c:pt>
                <c:pt idx="403">
                  <c:v>78.254369999999966</c:v>
                </c:pt>
                <c:pt idx="404">
                  <c:v>78.254369999999966</c:v>
                </c:pt>
                <c:pt idx="405">
                  <c:v>78.254369999999966</c:v>
                </c:pt>
                <c:pt idx="406">
                  <c:v>78.254369999999966</c:v>
                </c:pt>
                <c:pt idx="407">
                  <c:v>78.254369999999966</c:v>
                </c:pt>
                <c:pt idx="408">
                  <c:v>78.254369999999966</c:v>
                </c:pt>
                <c:pt idx="409">
                  <c:v>78.254369999999966</c:v>
                </c:pt>
                <c:pt idx="410">
                  <c:v>78.254369999999966</c:v>
                </c:pt>
                <c:pt idx="411">
                  <c:v>78.254369999999966</c:v>
                </c:pt>
                <c:pt idx="412">
                  <c:v>78.254369999999966</c:v>
                </c:pt>
                <c:pt idx="413">
                  <c:v>78.254369999999966</c:v>
                </c:pt>
                <c:pt idx="414">
                  <c:v>78.254369999999966</c:v>
                </c:pt>
                <c:pt idx="415">
                  <c:v>78.254369999999966</c:v>
                </c:pt>
                <c:pt idx="416">
                  <c:v>78.254369999999966</c:v>
                </c:pt>
                <c:pt idx="417">
                  <c:v>78.254369999999966</c:v>
                </c:pt>
                <c:pt idx="418">
                  <c:v>78.254369999999966</c:v>
                </c:pt>
                <c:pt idx="419">
                  <c:v>78.254369999999966</c:v>
                </c:pt>
                <c:pt idx="420">
                  <c:v>78.254369999999966</c:v>
                </c:pt>
                <c:pt idx="421">
                  <c:v>78.254369999999966</c:v>
                </c:pt>
                <c:pt idx="422">
                  <c:v>78.254369999999966</c:v>
                </c:pt>
                <c:pt idx="423">
                  <c:v>78.254369999999966</c:v>
                </c:pt>
                <c:pt idx="424">
                  <c:v>78.254369999999966</c:v>
                </c:pt>
                <c:pt idx="425">
                  <c:v>78.254369999999966</c:v>
                </c:pt>
                <c:pt idx="426">
                  <c:v>78.254369999999966</c:v>
                </c:pt>
                <c:pt idx="427">
                  <c:v>78.254369999999966</c:v>
                </c:pt>
                <c:pt idx="428">
                  <c:v>78.254369999999966</c:v>
                </c:pt>
                <c:pt idx="429">
                  <c:v>78.254369999999966</c:v>
                </c:pt>
                <c:pt idx="430">
                  <c:v>78.254369999999966</c:v>
                </c:pt>
                <c:pt idx="431">
                  <c:v>78.254369999999966</c:v>
                </c:pt>
                <c:pt idx="432">
                  <c:v>78.254369999999966</c:v>
                </c:pt>
                <c:pt idx="433">
                  <c:v>78.254369999999966</c:v>
                </c:pt>
                <c:pt idx="434">
                  <c:v>78.254369999999966</c:v>
                </c:pt>
                <c:pt idx="435">
                  <c:v>78.254369999999966</c:v>
                </c:pt>
                <c:pt idx="436">
                  <c:v>78.254369999999966</c:v>
                </c:pt>
                <c:pt idx="437">
                  <c:v>78.254369999999966</c:v>
                </c:pt>
                <c:pt idx="438">
                  <c:v>78.254369999999966</c:v>
                </c:pt>
                <c:pt idx="439">
                  <c:v>78.254369999999966</c:v>
                </c:pt>
                <c:pt idx="440">
                  <c:v>78.254369999999966</c:v>
                </c:pt>
                <c:pt idx="441">
                  <c:v>78.254369999999966</c:v>
                </c:pt>
                <c:pt idx="442">
                  <c:v>78.254369999999966</c:v>
                </c:pt>
                <c:pt idx="443">
                  <c:v>78.254369999999966</c:v>
                </c:pt>
                <c:pt idx="444">
                  <c:v>78.254369999999966</c:v>
                </c:pt>
                <c:pt idx="445">
                  <c:v>78.254369999999966</c:v>
                </c:pt>
                <c:pt idx="446">
                  <c:v>78.254369999999966</c:v>
                </c:pt>
                <c:pt idx="447">
                  <c:v>78.254369999999966</c:v>
                </c:pt>
                <c:pt idx="448">
                  <c:v>78.254369999999966</c:v>
                </c:pt>
                <c:pt idx="449">
                  <c:v>78.254369999999966</c:v>
                </c:pt>
                <c:pt idx="450">
                  <c:v>78.254369999999966</c:v>
                </c:pt>
                <c:pt idx="451">
                  <c:v>78.254369999999966</c:v>
                </c:pt>
                <c:pt idx="452">
                  <c:v>78.254369999999966</c:v>
                </c:pt>
                <c:pt idx="453">
                  <c:v>78.254369999999966</c:v>
                </c:pt>
                <c:pt idx="454">
                  <c:v>78.254369999999966</c:v>
                </c:pt>
                <c:pt idx="455">
                  <c:v>78.254369999999966</c:v>
                </c:pt>
                <c:pt idx="456">
                  <c:v>78.254369999999966</c:v>
                </c:pt>
                <c:pt idx="457">
                  <c:v>78.254369999999966</c:v>
                </c:pt>
                <c:pt idx="458">
                  <c:v>78.254369999999966</c:v>
                </c:pt>
                <c:pt idx="459">
                  <c:v>78.254369999999966</c:v>
                </c:pt>
                <c:pt idx="460">
                  <c:v>78.254369999999966</c:v>
                </c:pt>
                <c:pt idx="461">
                  <c:v>78.254369999999966</c:v>
                </c:pt>
                <c:pt idx="462">
                  <c:v>78.254369999999966</c:v>
                </c:pt>
                <c:pt idx="463">
                  <c:v>78.254369999999966</c:v>
                </c:pt>
                <c:pt idx="464">
                  <c:v>78.254369999999966</c:v>
                </c:pt>
                <c:pt idx="465">
                  <c:v>78.254369999999966</c:v>
                </c:pt>
                <c:pt idx="466">
                  <c:v>78.254369999999966</c:v>
                </c:pt>
                <c:pt idx="467">
                  <c:v>78.254369999999966</c:v>
                </c:pt>
                <c:pt idx="468">
                  <c:v>78.254369999999966</c:v>
                </c:pt>
                <c:pt idx="469">
                  <c:v>78.254369999999966</c:v>
                </c:pt>
                <c:pt idx="470">
                  <c:v>78.254369999999966</c:v>
                </c:pt>
                <c:pt idx="471">
                  <c:v>78.254369999999966</c:v>
                </c:pt>
                <c:pt idx="472">
                  <c:v>78.254369999999966</c:v>
                </c:pt>
                <c:pt idx="473">
                  <c:v>78.254369999999966</c:v>
                </c:pt>
                <c:pt idx="474">
                  <c:v>78.254369999999966</c:v>
                </c:pt>
                <c:pt idx="475">
                  <c:v>78.254369999999966</c:v>
                </c:pt>
                <c:pt idx="476">
                  <c:v>78.254369999999966</c:v>
                </c:pt>
                <c:pt idx="477">
                  <c:v>78.254369999999966</c:v>
                </c:pt>
                <c:pt idx="478">
                  <c:v>78.254369999999966</c:v>
                </c:pt>
                <c:pt idx="479">
                  <c:v>78.254369999999966</c:v>
                </c:pt>
                <c:pt idx="480">
                  <c:v>78.254369999999966</c:v>
                </c:pt>
                <c:pt idx="481">
                  <c:v>78.254369999999966</c:v>
                </c:pt>
                <c:pt idx="482">
                  <c:v>78.254369999999966</c:v>
                </c:pt>
                <c:pt idx="483">
                  <c:v>78.254369999999966</c:v>
                </c:pt>
                <c:pt idx="484">
                  <c:v>78.254369999999966</c:v>
                </c:pt>
                <c:pt idx="485">
                  <c:v>78.254369999999966</c:v>
                </c:pt>
                <c:pt idx="486">
                  <c:v>78.254369999999966</c:v>
                </c:pt>
                <c:pt idx="487">
                  <c:v>78.254369999999966</c:v>
                </c:pt>
                <c:pt idx="488">
                  <c:v>78.254369999999966</c:v>
                </c:pt>
                <c:pt idx="489">
                  <c:v>78.254369999999966</c:v>
                </c:pt>
                <c:pt idx="490">
                  <c:v>78.254369999999966</c:v>
                </c:pt>
                <c:pt idx="491">
                  <c:v>78.254369999999966</c:v>
                </c:pt>
                <c:pt idx="492">
                  <c:v>78.254369999999966</c:v>
                </c:pt>
                <c:pt idx="493">
                  <c:v>78.254369999999966</c:v>
                </c:pt>
                <c:pt idx="494">
                  <c:v>78.254369999999966</c:v>
                </c:pt>
                <c:pt idx="495">
                  <c:v>78.254369999999966</c:v>
                </c:pt>
                <c:pt idx="496">
                  <c:v>78.254369999999966</c:v>
                </c:pt>
                <c:pt idx="497">
                  <c:v>78.254369999999966</c:v>
                </c:pt>
                <c:pt idx="498">
                  <c:v>78.254369999999966</c:v>
                </c:pt>
                <c:pt idx="499">
                  <c:v>78.254369999999966</c:v>
                </c:pt>
                <c:pt idx="500">
                  <c:v>78.254369999999966</c:v>
                </c:pt>
                <c:pt idx="501">
                  <c:v>78.254369999999966</c:v>
                </c:pt>
                <c:pt idx="502">
                  <c:v>78.254369999999966</c:v>
                </c:pt>
                <c:pt idx="503">
                  <c:v>78.254369999999966</c:v>
                </c:pt>
                <c:pt idx="504">
                  <c:v>78.254369999999966</c:v>
                </c:pt>
                <c:pt idx="505">
                  <c:v>78.254369999999966</c:v>
                </c:pt>
                <c:pt idx="506">
                  <c:v>78.254369999999966</c:v>
                </c:pt>
                <c:pt idx="507">
                  <c:v>78.254369999999966</c:v>
                </c:pt>
                <c:pt idx="508">
                  <c:v>78.254369999999966</c:v>
                </c:pt>
                <c:pt idx="509">
                  <c:v>78.254369999999966</c:v>
                </c:pt>
                <c:pt idx="510">
                  <c:v>78.254369999999966</c:v>
                </c:pt>
                <c:pt idx="511">
                  <c:v>78.254369999999966</c:v>
                </c:pt>
                <c:pt idx="512">
                  <c:v>78.254369999999966</c:v>
                </c:pt>
                <c:pt idx="513">
                  <c:v>78.254369999999966</c:v>
                </c:pt>
                <c:pt idx="514">
                  <c:v>78.254369999999966</c:v>
                </c:pt>
                <c:pt idx="515">
                  <c:v>78.254369999999966</c:v>
                </c:pt>
                <c:pt idx="516">
                  <c:v>78.254369999999966</c:v>
                </c:pt>
                <c:pt idx="517">
                  <c:v>78.254369999999966</c:v>
                </c:pt>
                <c:pt idx="518">
                  <c:v>78.254369999999966</c:v>
                </c:pt>
                <c:pt idx="519">
                  <c:v>78.254369999999966</c:v>
                </c:pt>
                <c:pt idx="520">
                  <c:v>78.254369999999966</c:v>
                </c:pt>
                <c:pt idx="521">
                  <c:v>78.254369999999966</c:v>
                </c:pt>
                <c:pt idx="522">
                  <c:v>78.254369999999966</c:v>
                </c:pt>
                <c:pt idx="523">
                  <c:v>78.254369999999966</c:v>
                </c:pt>
                <c:pt idx="524">
                  <c:v>78.254369999999966</c:v>
                </c:pt>
                <c:pt idx="525">
                  <c:v>78.254369999999966</c:v>
                </c:pt>
                <c:pt idx="526">
                  <c:v>78.254369999999966</c:v>
                </c:pt>
                <c:pt idx="527">
                  <c:v>78.254369999999966</c:v>
                </c:pt>
                <c:pt idx="528">
                  <c:v>78.254369999999966</c:v>
                </c:pt>
                <c:pt idx="529">
                  <c:v>78.254369999999966</c:v>
                </c:pt>
                <c:pt idx="530">
                  <c:v>78.254369999999966</c:v>
                </c:pt>
                <c:pt idx="531">
                  <c:v>78.254369999999966</c:v>
                </c:pt>
                <c:pt idx="532">
                  <c:v>78.254369999999966</c:v>
                </c:pt>
                <c:pt idx="533">
                  <c:v>78.254369999999966</c:v>
                </c:pt>
                <c:pt idx="534">
                  <c:v>78.254369999999966</c:v>
                </c:pt>
                <c:pt idx="535">
                  <c:v>78.254369999999966</c:v>
                </c:pt>
                <c:pt idx="536">
                  <c:v>78.254369999999966</c:v>
                </c:pt>
                <c:pt idx="537">
                  <c:v>78.254369999999966</c:v>
                </c:pt>
                <c:pt idx="538">
                  <c:v>78.254369999999966</c:v>
                </c:pt>
                <c:pt idx="539">
                  <c:v>78.254369999999966</c:v>
                </c:pt>
                <c:pt idx="540">
                  <c:v>78.254369999999966</c:v>
                </c:pt>
                <c:pt idx="541">
                  <c:v>78.254369999999966</c:v>
                </c:pt>
                <c:pt idx="542">
                  <c:v>78.254369999999966</c:v>
                </c:pt>
                <c:pt idx="543">
                  <c:v>78.254369999999966</c:v>
                </c:pt>
                <c:pt idx="544">
                  <c:v>78.254369999999966</c:v>
                </c:pt>
                <c:pt idx="545">
                  <c:v>78.254369999999966</c:v>
                </c:pt>
                <c:pt idx="546">
                  <c:v>78.254369999999966</c:v>
                </c:pt>
                <c:pt idx="547">
                  <c:v>78.254369999999966</c:v>
                </c:pt>
                <c:pt idx="548">
                  <c:v>78.254369999999966</c:v>
                </c:pt>
                <c:pt idx="549">
                  <c:v>78.254369999999966</c:v>
                </c:pt>
                <c:pt idx="550">
                  <c:v>78.254369999999966</c:v>
                </c:pt>
                <c:pt idx="551">
                  <c:v>78.254369999999966</c:v>
                </c:pt>
                <c:pt idx="552">
                  <c:v>78.254369999999966</c:v>
                </c:pt>
                <c:pt idx="553">
                  <c:v>78.254369999999966</c:v>
                </c:pt>
                <c:pt idx="554">
                  <c:v>78.254369999999966</c:v>
                </c:pt>
                <c:pt idx="555">
                  <c:v>78.254369999999966</c:v>
                </c:pt>
                <c:pt idx="556">
                  <c:v>78.254369999999966</c:v>
                </c:pt>
                <c:pt idx="557">
                  <c:v>78.254369999999966</c:v>
                </c:pt>
                <c:pt idx="558">
                  <c:v>78.254369999999966</c:v>
                </c:pt>
                <c:pt idx="559">
                  <c:v>78.254369999999966</c:v>
                </c:pt>
                <c:pt idx="560">
                  <c:v>78.254369999999966</c:v>
                </c:pt>
                <c:pt idx="561">
                  <c:v>78.254369999999966</c:v>
                </c:pt>
                <c:pt idx="562">
                  <c:v>78.254369999999966</c:v>
                </c:pt>
                <c:pt idx="563">
                  <c:v>78.254369999999966</c:v>
                </c:pt>
                <c:pt idx="564">
                  <c:v>78.254369999999966</c:v>
                </c:pt>
                <c:pt idx="565">
                  <c:v>78.254369999999966</c:v>
                </c:pt>
                <c:pt idx="566">
                  <c:v>78.254369999999966</c:v>
                </c:pt>
                <c:pt idx="567">
                  <c:v>78.254369999999966</c:v>
                </c:pt>
                <c:pt idx="568">
                  <c:v>78.254369999999966</c:v>
                </c:pt>
                <c:pt idx="569">
                  <c:v>78.254369999999966</c:v>
                </c:pt>
                <c:pt idx="570">
                  <c:v>78.254369999999966</c:v>
                </c:pt>
                <c:pt idx="571">
                  <c:v>78.254369999999966</c:v>
                </c:pt>
                <c:pt idx="572">
                  <c:v>78.254369999999966</c:v>
                </c:pt>
                <c:pt idx="573">
                  <c:v>78.254369999999966</c:v>
                </c:pt>
                <c:pt idx="574">
                  <c:v>78.254369999999966</c:v>
                </c:pt>
                <c:pt idx="575">
                  <c:v>78.254369999999966</c:v>
                </c:pt>
                <c:pt idx="576">
                  <c:v>78.254369999999966</c:v>
                </c:pt>
                <c:pt idx="577">
                  <c:v>78.254369999999966</c:v>
                </c:pt>
                <c:pt idx="578">
                  <c:v>78.254369999999966</c:v>
                </c:pt>
                <c:pt idx="579">
                  <c:v>78.254369999999966</c:v>
                </c:pt>
                <c:pt idx="580">
                  <c:v>78.254369999999966</c:v>
                </c:pt>
                <c:pt idx="581">
                  <c:v>78.254369999999966</c:v>
                </c:pt>
                <c:pt idx="582">
                  <c:v>78.254369999999966</c:v>
                </c:pt>
                <c:pt idx="583">
                  <c:v>78.254369999999966</c:v>
                </c:pt>
                <c:pt idx="584">
                  <c:v>78.254369999999966</c:v>
                </c:pt>
                <c:pt idx="585">
                  <c:v>78.254369999999966</c:v>
                </c:pt>
                <c:pt idx="586">
                  <c:v>78.254369999999966</c:v>
                </c:pt>
                <c:pt idx="587">
                  <c:v>78.254369999999966</c:v>
                </c:pt>
                <c:pt idx="588">
                  <c:v>78.254369999999966</c:v>
                </c:pt>
                <c:pt idx="589">
                  <c:v>78.254369999999966</c:v>
                </c:pt>
                <c:pt idx="590">
                  <c:v>78.254369999999966</c:v>
                </c:pt>
                <c:pt idx="591">
                  <c:v>78.254369999999966</c:v>
                </c:pt>
                <c:pt idx="592">
                  <c:v>78.254369999999966</c:v>
                </c:pt>
                <c:pt idx="593">
                  <c:v>78.254369999999966</c:v>
                </c:pt>
                <c:pt idx="594">
                  <c:v>78.254369999999966</c:v>
                </c:pt>
                <c:pt idx="595">
                  <c:v>78.254369999999966</c:v>
                </c:pt>
                <c:pt idx="596">
                  <c:v>78.254369999999966</c:v>
                </c:pt>
                <c:pt idx="597">
                  <c:v>78.254369999999966</c:v>
                </c:pt>
                <c:pt idx="598">
                  <c:v>78.254369999999966</c:v>
                </c:pt>
                <c:pt idx="599">
                  <c:v>78.254369999999966</c:v>
                </c:pt>
                <c:pt idx="600">
                  <c:v>78.254369999999966</c:v>
                </c:pt>
                <c:pt idx="601">
                  <c:v>78.254369999999966</c:v>
                </c:pt>
                <c:pt idx="602">
                  <c:v>78.254369999999966</c:v>
                </c:pt>
                <c:pt idx="603">
                  <c:v>78.254369999999966</c:v>
                </c:pt>
                <c:pt idx="604">
                  <c:v>78.254369999999966</c:v>
                </c:pt>
                <c:pt idx="605">
                  <c:v>78.254369999999966</c:v>
                </c:pt>
                <c:pt idx="606">
                  <c:v>78.254369999999966</c:v>
                </c:pt>
                <c:pt idx="607">
                  <c:v>78.254369999999966</c:v>
                </c:pt>
                <c:pt idx="608">
                  <c:v>78.254369999999966</c:v>
                </c:pt>
                <c:pt idx="609">
                  <c:v>78.254369999999966</c:v>
                </c:pt>
                <c:pt idx="610">
                  <c:v>78.254369999999966</c:v>
                </c:pt>
                <c:pt idx="611">
                  <c:v>78.254369999999966</c:v>
                </c:pt>
                <c:pt idx="612">
                  <c:v>78.254369999999966</c:v>
                </c:pt>
                <c:pt idx="613">
                  <c:v>78.254369999999966</c:v>
                </c:pt>
                <c:pt idx="614">
                  <c:v>78.254369999999966</c:v>
                </c:pt>
                <c:pt idx="615">
                  <c:v>78.254369999999966</c:v>
                </c:pt>
                <c:pt idx="616">
                  <c:v>78.254369999999966</c:v>
                </c:pt>
                <c:pt idx="617">
                  <c:v>78.254369999999966</c:v>
                </c:pt>
                <c:pt idx="618">
                  <c:v>78.254369999999966</c:v>
                </c:pt>
                <c:pt idx="619">
                  <c:v>78.254369999999966</c:v>
                </c:pt>
                <c:pt idx="620">
                  <c:v>78.254369999999966</c:v>
                </c:pt>
                <c:pt idx="621">
                  <c:v>78.254369999999966</c:v>
                </c:pt>
                <c:pt idx="622">
                  <c:v>78.254369999999966</c:v>
                </c:pt>
                <c:pt idx="623">
                  <c:v>78.254369999999966</c:v>
                </c:pt>
                <c:pt idx="624">
                  <c:v>78.254369999999966</c:v>
                </c:pt>
                <c:pt idx="625">
                  <c:v>78.254369999999966</c:v>
                </c:pt>
                <c:pt idx="626">
                  <c:v>78.254369999999966</c:v>
                </c:pt>
                <c:pt idx="627">
                  <c:v>78.254369999999966</c:v>
                </c:pt>
                <c:pt idx="628">
                  <c:v>78.254369999999966</c:v>
                </c:pt>
                <c:pt idx="629">
                  <c:v>78.254369999999966</c:v>
                </c:pt>
                <c:pt idx="630">
                  <c:v>78.254369999999966</c:v>
                </c:pt>
                <c:pt idx="631">
                  <c:v>78.254369999999966</c:v>
                </c:pt>
                <c:pt idx="632">
                  <c:v>78.254369999999966</c:v>
                </c:pt>
                <c:pt idx="633">
                  <c:v>78.254369999999966</c:v>
                </c:pt>
                <c:pt idx="634">
                  <c:v>78.254369999999966</c:v>
                </c:pt>
                <c:pt idx="635">
                  <c:v>78.254369999999966</c:v>
                </c:pt>
                <c:pt idx="636">
                  <c:v>78.254369999999966</c:v>
                </c:pt>
                <c:pt idx="637">
                  <c:v>78.254369999999966</c:v>
                </c:pt>
                <c:pt idx="638">
                  <c:v>78.254369999999966</c:v>
                </c:pt>
                <c:pt idx="639">
                  <c:v>78.254369999999966</c:v>
                </c:pt>
                <c:pt idx="640">
                  <c:v>78.254369999999966</c:v>
                </c:pt>
                <c:pt idx="641">
                  <c:v>78.254369999999966</c:v>
                </c:pt>
                <c:pt idx="642">
                  <c:v>78.254369999999966</c:v>
                </c:pt>
                <c:pt idx="643">
                  <c:v>78.254369999999966</c:v>
                </c:pt>
                <c:pt idx="644">
                  <c:v>78.254369999999966</c:v>
                </c:pt>
                <c:pt idx="645">
                  <c:v>78.254369999999966</c:v>
                </c:pt>
                <c:pt idx="646">
                  <c:v>78.254369999999966</c:v>
                </c:pt>
                <c:pt idx="647">
                  <c:v>78.254369999999966</c:v>
                </c:pt>
                <c:pt idx="648">
                  <c:v>78.254369999999966</c:v>
                </c:pt>
                <c:pt idx="649">
                  <c:v>78.254369999999966</c:v>
                </c:pt>
                <c:pt idx="650">
                  <c:v>78.254369999999966</c:v>
                </c:pt>
                <c:pt idx="651">
                  <c:v>78.254369999999966</c:v>
                </c:pt>
                <c:pt idx="652">
                  <c:v>78.254369999999966</c:v>
                </c:pt>
                <c:pt idx="653">
                  <c:v>78.254369999999966</c:v>
                </c:pt>
                <c:pt idx="654">
                  <c:v>78.254369999999966</c:v>
                </c:pt>
                <c:pt idx="655">
                  <c:v>78.254369999999966</c:v>
                </c:pt>
                <c:pt idx="656">
                  <c:v>78.254369999999966</c:v>
                </c:pt>
                <c:pt idx="657">
                  <c:v>78.254369999999966</c:v>
                </c:pt>
                <c:pt idx="658">
                  <c:v>78.254369999999966</c:v>
                </c:pt>
                <c:pt idx="659">
                  <c:v>78.254369999999966</c:v>
                </c:pt>
                <c:pt idx="660">
                  <c:v>78.254369999999966</c:v>
                </c:pt>
                <c:pt idx="661">
                  <c:v>78.254369999999966</c:v>
                </c:pt>
                <c:pt idx="662">
                  <c:v>78.254369999999966</c:v>
                </c:pt>
                <c:pt idx="663">
                  <c:v>78.254369999999966</c:v>
                </c:pt>
                <c:pt idx="664">
                  <c:v>78.254369999999966</c:v>
                </c:pt>
                <c:pt idx="665">
                  <c:v>78.254369999999966</c:v>
                </c:pt>
                <c:pt idx="666">
                  <c:v>78.254369999999966</c:v>
                </c:pt>
                <c:pt idx="667">
                  <c:v>78.254369999999966</c:v>
                </c:pt>
                <c:pt idx="668">
                  <c:v>78.254369999999966</c:v>
                </c:pt>
                <c:pt idx="669">
                  <c:v>78.254369999999966</c:v>
                </c:pt>
                <c:pt idx="670">
                  <c:v>78.254369999999966</c:v>
                </c:pt>
                <c:pt idx="671">
                  <c:v>78.254369999999966</c:v>
                </c:pt>
                <c:pt idx="672">
                  <c:v>78.254369999999966</c:v>
                </c:pt>
                <c:pt idx="673">
                  <c:v>78.254369999999966</c:v>
                </c:pt>
                <c:pt idx="674">
                  <c:v>78.254369999999966</c:v>
                </c:pt>
                <c:pt idx="675">
                  <c:v>78.254369999999966</c:v>
                </c:pt>
                <c:pt idx="676">
                  <c:v>78.254369999999966</c:v>
                </c:pt>
                <c:pt idx="677">
                  <c:v>78.254369999999966</c:v>
                </c:pt>
                <c:pt idx="678">
                  <c:v>78.254369999999966</c:v>
                </c:pt>
                <c:pt idx="679">
                  <c:v>78.254369999999966</c:v>
                </c:pt>
                <c:pt idx="680">
                  <c:v>78.254369999999966</c:v>
                </c:pt>
                <c:pt idx="681">
                  <c:v>78.254369999999966</c:v>
                </c:pt>
                <c:pt idx="682">
                  <c:v>78.254369999999966</c:v>
                </c:pt>
                <c:pt idx="683">
                  <c:v>78.254369999999966</c:v>
                </c:pt>
                <c:pt idx="684">
                  <c:v>78.254369999999966</c:v>
                </c:pt>
                <c:pt idx="685">
                  <c:v>78.254369999999966</c:v>
                </c:pt>
                <c:pt idx="686">
                  <c:v>78.254369999999966</c:v>
                </c:pt>
                <c:pt idx="687">
                  <c:v>78.254369999999966</c:v>
                </c:pt>
                <c:pt idx="688">
                  <c:v>78.254369999999966</c:v>
                </c:pt>
                <c:pt idx="689">
                  <c:v>78.254369999999966</c:v>
                </c:pt>
                <c:pt idx="690">
                  <c:v>78.254369999999966</c:v>
                </c:pt>
                <c:pt idx="691">
                  <c:v>78.254369999999966</c:v>
                </c:pt>
                <c:pt idx="692">
                  <c:v>78.254369999999966</c:v>
                </c:pt>
                <c:pt idx="693">
                  <c:v>78.254369999999966</c:v>
                </c:pt>
                <c:pt idx="694">
                  <c:v>78.254369999999966</c:v>
                </c:pt>
                <c:pt idx="695">
                  <c:v>78.254369999999966</c:v>
                </c:pt>
                <c:pt idx="696">
                  <c:v>78.254369999999966</c:v>
                </c:pt>
                <c:pt idx="697">
                  <c:v>78.254369999999966</c:v>
                </c:pt>
                <c:pt idx="698">
                  <c:v>78.254369999999966</c:v>
                </c:pt>
                <c:pt idx="699">
                  <c:v>78.254369999999966</c:v>
                </c:pt>
                <c:pt idx="700">
                  <c:v>78.254369999999966</c:v>
                </c:pt>
                <c:pt idx="701">
                  <c:v>78.254369999999966</c:v>
                </c:pt>
                <c:pt idx="702">
                  <c:v>78.254369999999966</c:v>
                </c:pt>
                <c:pt idx="703">
                  <c:v>78.254369999999966</c:v>
                </c:pt>
                <c:pt idx="704">
                  <c:v>78.254369999999966</c:v>
                </c:pt>
                <c:pt idx="705">
                  <c:v>78.254369999999966</c:v>
                </c:pt>
                <c:pt idx="706">
                  <c:v>78.254369999999966</c:v>
                </c:pt>
                <c:pt idx="707">
                  <c:v>78.254369999999966</c:v>
                </c:pt>
                <c:pt idx="708">
                  <c:v>78.254369999999966</c:v>
                </c:pt>
                <c:pt idx="709">
                  <c:v>78.254369999999966</c:v>
                </c:pt>
                <c:pt idx="710">
                  <c:v>78.254369999999966</c:v>
                </c:pt>
                <c:pt idx="711">
                  <c:v>78.254369999999966</c:v>
                </c:pt>
                <c:pt idx="712">
                  <c:v>78.254369999999966</c:v>
                </c:pt>
                <c:pt idx="713">
                  <c:v>78.254369999999966</c:v>
                </c:pt>
                <c:pt idx="714">
                  <c:v>78.254369999999966</c:v>
                </c:pt>
                <c:pt idx="715">
                  <c:v>78.254369999999966</c:v>
                </c:pt>
                <c:pt idx="716">
                  <c:v>78.254369999999966</c:v>
                </c:pt>
                <c:pt idx="717">
                  <c:v>78.254369999999966</c:v>
                </c:pt>
                <c:pt idx="718">
                  <c:v>78.254369999999966</c:v>
                </c:pt>
                <c:pt idx="719">
                  <c:v>78.254369999999966</c:v>
                </c:pt>
                <c:pt idx="720">
                  <c:v>78.254369999999966</c:v>
                </c:pt>
                <c:pt idx="721">
                  <c:v>78.254369999999966</c:v>
                </c:pt>
                <c:pt idx="722">
                  <c:v>78.254369999999966</c:v>
                </c:pt>
                <c:pt idx="723">
                  <c:v>78.254369999999966</c:v>
                </c:pt>
                <c:pt idx="724">
                  <c:v>78.254369999999966</c:v>
                </c:pt>
                <c:pt idx="725">
                  <c:v>78.254369999999966</c:v>
                </c:pt>
                <c:pt idx="726">
                  <c:v>78.254369999999966</c:v>
                </c:pt>
                <c:pt idx="727">
                  <c:v>78.254369999999966</c:v>
                </c:pt>
                <c:pt idx="728">
                  <c:v>78.254369999999966</c:v>
                </c:pt>
                <c:pt idx="729">
                  <c:v>78.254369999999966</c:v>
                </c:pt>
                <c:pt idx="730">
                  <c:v>78.254369999999966</c:v>
                </c:pt>
                <c:pt idx="731">
                  <c:v>78.254369999999966</c:v>
                </c:pt>
                <c:pt idx="732">
                  <c:v>78.254369999999966</c:v>
                </c:pt>
                <c:pt idx="733">
                  <c:v>78.254369999999966</c:v>
                </c:pt>
                <c:pt idx="734">
                  <c:v>78.254369999999966</c:v>
                </c:pt>
                <c:pt idx="735">
                  <c:v>78.254369999999966</c:v>
                </c:pt>
                <c:pt idx="736">
                  <c:v>78.254369999999966</c:v>
                </c:pt>
                <c:pt idx="737">
                  <c:v>78.254369999999966</c:v>
                </c:pt>
                <c:pt idx="738">
                  <c:v>78.254369999999966</c:v>
                </c:pt>
                <c:pt idx="739">
                  <c:v>78.254369999999966</c:v>
                </c:pt>
                <c:pt idx="740">
                  <c:v>78.254369999999966</c:v>
                </c:pt>
                <c:pt idx="741">
                  <c:v>78.254369999999966</c:v>
                </c:pt>
                <c:pt idx="742">
                  <c:v>78.254369999999966</c:v>
                </c:pt>
                <c:pt idx="743">
                  <c:v>78.254369999999966</c:v>
                </c:pt>
                <c:pt idx="744">
                  <c:v>78.254369999999966</c:v>
                </c:pt>
                <c:pt idx="745">
                  <c:v>78.254369999999966</c:v>
                </c:pt>
                <c:pt idx="746">
                  <c:v>78.254369999999966</c:v>
                </c:pt>
                <c:pt idx="747">
                  <c:v>78.254369999999966</c:v>
                </c:pt>
                <c:pt idx="748">
                  <c:v>78.254369999999966</c:v>
                </c:pt>
                <c:pt idx="749">
                  <c:v>78.254369999999966</c:v>
                </c:pt>
                <c:pt idx="750">
                  <c:v>78.254369999999966</c:v>
                </c:pt>
                <c:pt idx="751">
                  <c:v>78.254369999999966</c:v>
                </c:pt>
                <c:pt idx="752">
                  <c:v>78.254369999999966</c:v>
                </c:pt>
                <c:pt idx="753">
                  <c:v>78.254369999999966</c:v>
                </c:pt>
                <c:pt idx="754">
                  <c:v>78.254369999999966</c:v>
                </c:pt>
                <c:pt idx="755">
                  <c:v>78.254369999999966</c:v>
                </c:pt>
                <c:pt idx="756">
                  <c:v>78.254369999999966</c:v>
                </c:pt>
                <c:pt idx="757">
                  <c:v>78.254369999999966</c:v>
                </c:pt>
                <c:pt idx="758">
                  <c:v>78.254369999999966</c:v>
                </c:pt>
                <c:pt idx="759">
                  <c:v>78.254369999999966</c:v>
                </c:pt>
                <c:pt idx="760">
                  <c:v>78.254369999999966</c:v>
                </c:pt>
                <c:pt idx="761">
                  <c:v>78.254369999999966</c:v>
                </c:pt>
                <c:pt idx="762">
                  <c:v>78.254369999999966</c:v>
                </c:pt>
                <c:pt idx="763">
                  <c:v>78.254369999999966</c:v>
                </c:pt>
                <c:pt idx="764">
                  <c:v>78.254369999999966</c:v>
                </c:pt>
                <c:pt idx="765">
                  <c:v>78.254369999999966</c:v>
                </c:pt>
                <c:pt idx="766">
                  <c:v>78.254369999999966</c:v>
                </c:pt>
                <c:pt idx="767">
                  <c:v>78.254369999999966</c:v>
                </c:pt>
                <c:pt idx="768">
                  <c:v>78.254369999999966</c:v>
                </c:pt>
                <c:pt idx="769">
                  <c:v>78.254369999999966</c:v>
                </c:pt>
                <c:pt idx="770">
                  <c:v>78.254369999999966</c:v>
                </c:pt>
                <c:pt idx="771">
                  <c:v>78.254369999999966</c:v>
                </c:pt>
                <c:pt idx="772">
                  <c:v>78.254369999999966</c:v>
                </c:pt>
                <c:pt idx="773">
                  <c:v>78.254369999999966</c:v>
                </c:pt>
                <c:pt idx="774">
                  <c:v>78.254369999999966</c:v>
                </c:pt>
                <c:pt idx="775">
                  <c:v>78.254369999999966</c:v>
                </c:pt>
                <c:pt idx="776">
                  <c:v>78.254369999999966</c:v>
                </c:pt>
                <c:pt idx="777">
                  <c:v>78.254369999999966</c:v>
                </c:pt>
                <c:pt idx="778">
                  <c:v>78.254369999999966</c:v>
                </c:pt>
                <c:pt idx="779">
                  <c:v>78.254369999999966</c:v>
                </c:pt>
                <c:pt idx="780">
                  <c:v>78.254369999999966</c:v>
                </c:pt>
                <c:pt idx="781">
                  <c:v>78.254369999999966</c:v>
                </c:pt>
                <c:pt idx="782">
                  <c:v>78.254369999999966</c:v>
                </c:pt>
                <c:pt idx="783">
                  <c:v>78.254369999999966</c:v>
                </c:pt>
                <c:pt idx="784">
                  <c:v>78.254369999999966</c:v>
                </c:pt>
                <c:pt idx="785">
                  <c:v>78.254369999999966</c:v>
                </c:pt>
                <c:pt idx="786">
                  <c:v>78.254369999999966</c:v>
                </c:pt>
                <c:pt idx="787">
                  <c:v>78.254369999999966</c:v>
                </c:pt>
                <c:pt idx="788">
                  <c:v>78.254369999999966</c:v>
                </c:pt>
                <c:pt idx="789">
                  <c:v>78.254369999999966</c:v>
                </c:pt>
                <c:pt idx="790">
                  <c:v>78.254369999999966</c:v>
                </c:pt>
                <c:pt idx="791">
                  <c:v>78.254369999999966</c:v>
                </c:pt>
                <c:pt idx="792">
                  <c:v>78.254369999999966</c:v>
                </c:pt>
                <c:pt idx="793">
                  <c:v>78.254369999999966</c:v>
                </c:pt>
                <c:pt idx="794">
                  <c:v>78.254369999999966</c:v>
                </c:pt>
                <c:pt idx="795">
                  <c:v>78.254369999999966</c:v>
                </c:pt>
                <c:pt idx="796">
                  <c:v>78.254369999999966</c:v>
                </c:pt>
                <c:pt idx="797">
                  <c:v>78.254369999999966</c:v>
                </c:pt>
                <c:pt idx="798">
                  <c:v>78.254369999999966</c:v>
                </c:pt>
                <c:pt idx="799">
                  <c:v>78.254369999999966</c:v>
                </c:pt>
                <c:pt idx="800">
                  <c:v>78.254369999999966</c:v>
                </c:pt>
                <c:pt idx="801">
                  <c:v>78.254369999999966</c:v>
                </c:pt>
                <c:pt idx="802">
                  <c:v>78.254369999999966</c:v>
                </c:pt>
                <c:pt idx="803">
                  <c:v>78.254369999999966</c:v>
                </c:pt>
                <c:pt idx="804">
                  <c:v>78.254369999999966</c:v>
                </c:pt>
                <c:pt idx="805">
                  <c:v>78.254369999999966</c:v>
                </c:pt>
                <c:pt idx="806">
                  <c:v>78.254369999999966</c:v>
                </c:pt>
                <c:pt idx="807">
                  <c:v>78.254369999999966</c:v>
                </c:pt>
                <c:pt idx="808">
                  <c:v>78.254369999999966</c:v>
                </c:pt>
                <c:pt idx="809">
                  <c:v>78.254369999999966</c:v>
                </c:pt>
                <c:pt idx="810">
                  <c:v>78.254369999999966</c:v>
                </c:pt>
                <c:pt idx="811">
                  <c:v>78.254369999999966</c:v>
                </c:pt>
                <c:pt idx="812">
                  <c:v>78.254369999999966</c:v>
                </c:pt>
                <c:pt idx="813">
                  <c:v>78.254369999999966</c:v>
                </c:pt>
                <c:pt idx="814">
                  <c:v>78.254369999999966</c:v>
                </c:pt>
                <c:pt idx="815">
                  <c:v>78.254369999999966</c:v>
                </c:pt>
                <c:pt idx="816">
                  <c:v>78.254369999999966</c:v>
                </c:pt>
                <c:pt idx="817">
                  <c:v>78.254369999999966</c:v>
                </c:pt>
                <c:pt idx="818">
                  <c:v>78.254369999999966</c:v>
                </c:pt>
                <c:pt idx="819">
                  <c:v>78.254369999999966</c:v>
                </c:pt>
                <c:pt idx="820">
                  <c:v>78.254369999999966</c:v>
                </c:pt>
                <c:pt idx="821">
                  <c:v>78.254369999999966</c:v>
                </c:pt>
                <c:pt idx="822">
                  <c:v>78.254369999999966</c:v>
                </c:pt>
                <c:pt idx="823">
                  <c:v>78.254369999999966</c:v>
                </c:pt>
                <c:pt idx="824">
                  <c:v>78.254369999999966</c:v>
                </c:pt>
                <c:pt idx="825">
                  <c:v>78.254369999999966</c:v>
                </c:pt>
                <c:pt idx="826">
                  <c:v>78.254369999999966</c:v>
                </c:pt>
                <c:pt idx="827">
                  <c:v>78.254369999999966</c:v>
                </c:pt>
                <c:pt idx="828">
                  <c:v>78.254369999999966</c:v>
                </c:pt>
                <c:pt idx="829">
                  <c:v>78.254369999999966</c:v>
                </c:pt>
                <c:pt idx="830">
                  <c:v>78.254369999999966</c:v>
                </c:pt>
                <c:pt idx="831">
                  <c:v>78.254369999999966</c:v>
                </c:pt>
                <c:pt idx="832">
                  <c:v>78.254369999999966</c:v>
                </c:pt>
                <c:pt idx="833">
                  <c:v>78.254369999999966</c:v>
                </c:pt>
                <c:pt idx="834">
                  <c:v>78.254369999999966</c:v>
                </c:pt>
                <c:pt idx="835">
                  <c:v>78.254369999999966</c:v>
                </c:pt>
                <c:pt idx="836">
                  <c:v>78.254369999999966</c:v>
                </c:pt>
                <c:pt idx="837">
                  <c:v>78.254369999999966</c:v>
                </c:pt>
                <c:pt idx="838">
                  <c:v>78.254369999999966</c:v>
                </c:pt>
                <c:pt idx="839">
                  <c:v>78.254369999999966</c:v>
                </c:pt>
                <c:pt idx="840">
                  <c:v>78.254369999999966</c:v>
                </c:pt>
                <c:pt idx="841">
                  <c:v>78.254369999999966</c:v>
                </c:pt>
                <c:pt idx="842">
                  <c:v>78.254369999999966</c:v>
                </c:pt>
                <c:pt idx="843">
                  <c:v>78.254369999999966</c:v>
                </c:pt>
                <c:pt idx="844">
                  <c:v>78.254369999999966</c:v>
                </c:pt>
                <c:pt idx="845">
                  <c:v>78.254369999999966</c:v>
                </c:pt>
                <c:pt idx="846">
                  <c:v>78.254369999999966</c:v>
                </c:pt>
                <c:pt idx="847">
                  <c:v>78.254369999999966</c:v>
                </c:pt>
                <c:pt idx="848">
                  <c:v>78.254369999999966</c:v>
                </c:pt>
                <c:pt idx="849">
                  <c:v>78.254369999999966</c:v>
                </c:pt>
                <c:pt idx="850">
                  <c:v>78.254369999999966</c:v>
                </c:pt>
                <c:pt idx="851">
                  <c:v>78.254369999999966</c:v>
                </c:pt>
                <c:pt idx="852">
                  <c:v>78.254369999999966</c:v>
                </c:pt>
                <c:pt idx="853">
                  <c:v>78.254369999999966</c:v>
                </c:pt>
                <c:pt idx="854">
                  <c:v>78.254369999999966</c:v>
                </c:pt>
                <c:pt idx="855">
                  <c:v>78.254369999999966</c:v>
                </c:pt>
                <c:pt idx="856">
                  <c:v>78.254369999999966</c:v>
                </c:pt>
                <c:pt idx="857">
                  <c:v>78.254369999999966</c:v>
                </c:pt>
                <c:pt idx="858">
                  <c:v>78.254369999999966</c:v>
                </c:pt>
                <c:pt idx="859">
                  <c:v>78.254369999999966</c:v>
                </c:pt>
                <c:pt idx="860">
                  <c:v>78.254369999999966</c:v>
                </c:pt>
                <c:pt idx="861">
                  <c:v>78.254369999999966</c:v>
                </c:pt>
                <c:pt idx="862">
                  <c:v>78.254369999999966</c:v>
                </c:pt>
                <c:pt idx="863">
                  <c:v>78.254369999999966</c:v>
                </c:pt>
                <c:pt idx="864">
                  <c:v>78.254369999999966</c:v>
                </c:pt>
                <c:pt idx="865">
                  <c:v>78.254369999999966</c:v>
                </c:pt>
                <c:pt idx="866">
                  <c:v>78.254369999999966</c:v>
                </c:pt>
                <c:pt idx="867">
                  <c:v>78.254369999999966</c:v>
                </c:pt>
                <c:pt idx="868">
                  <c:v>78.254369999999966</c:v>
                </c:pt>
                <c:pt idx="869">
                  <c:v>78.254369999999966</c:v>
                </c:pt>
                <c:pt idx="870">
                  <c:v>78.254369999999966</c:v>
                </c:pt>
                <c:pt idx="871">
                  <c:v>78.254369999999966</c:v>
                </c:pt>
                <c:pt idx="872">
                  <c:v>78.254369999999966</c:v>
                </c:pt>
                <c:pt idx="873">
                  <c:v>78.254369999999966</c:v>
                </c:pt>
                <c:pt idx="874">
                  <c:v>78.254369999999966</c:v>
                </c:pt>
                <c:pt idx="875">
                  <c:v>78.254369999999966</c:v>
                </c:pt>
                <c:pt idx="876">
                  <c:v>78.254369999999966</c:v>
                </c:pt>
                <c:pt idx="877">
                  <c:v>78.254369999999966</c:v>
                </c:pt>
                <c:pt idx="878">
                  <c:v>78.254369999999966</c:v>
                </c:pt>
                <c:pt idx="879">
                  <c:v>78.254369999999966</c:v>
                </c:pt>
                <c:pt idx="880">
                  <c:v>78.254369999999966</c:v>
                </c:pt>
                <c:pt idx="881">
                  <c:v>78.254369999999966</c:v>
                </c:pt>
                <c:pt idx="882">
                  <c:v>78.254369999999966</c:v>
                </c:pt>
                <c:pt idx="883">
                  <c:v>78.254369999999966</c:v>
                </c:pt>
                <c:pt idx="884">
                  <c:v>78.254369999999966</c:v>
                </c:pt>
                <c:pt idx="885">
                  <c:v>78.254369999999966</c:v>
                </c:pt>
                <c:pt idx="886">
                  <c:v>78.254369999999966</c:v>
                </c:pt>
                <c:pt idx="887">
                  <c:v>78.254369999999966</c:v>
                </c:pt>
                <c:pt idx="888">
                  <c:v>78.254369999999966</c:v>
                </c:pt>
                <c:pt idx="889">
                  <c:v>78.254369999999966</c:v>
                </c:pt>
                <c:pt idx="890">
                  <c:v>78.254369999999966</c:v>
                </c:pt>
                <c:pt idx="891">
                  <c:v>78.254369999999966</c:v>
                </c:pt>
                <c:pt idx="892">
                  <c:v>78.254369999999966</c:v>
                </c:pt>
                <c:pt idx="893">
                  <c:v>78.254369999999966</c:v>
                </c:pt>
                <c:pt idx="894">
                  <c:v>78.254369999999966</c:v>
                </c:pt>
                <c:pt idx="895">
                  <c:v>78.254369999999966</c:v>
                </c:pt>
                <c:pt idx="896">
                  <c:v>78.254369999999966</c:v>
                </c:pt>
                <c:pt idx="897">
                  <c:v>78.254369999999966</c:v>
                </c:pt>
                <c:pt idx="898">
                  <c:v>78.254369999999966</c:v>
                </c:pt>
                <c:pt idx="899">
                  <c:v>78.254369999999966</c:v>
                </c:pt>
                <c:pt idx="900">
                  <c:v>78.254369999999966</c:v>
                </c:pt>
                <c:pt idx="901">
                  <c:v>78.254369999999966</c:v>
                </c:pt>
                <c:pt idx="902">
                  <c:v>78.254369999999966</c:v>
                </c:pt>
                <c:pt idx="903">
                  <c:v>78.254369999999966</c:v>
                </c:pt>
                <c:pt idx="904">
                  <c:v>78.254369999999966</c:v>
                </c:pt>
                <c:pt idx="905">
                  <c:v>78.254369999999966</c:v>
                </c:pt>
                <c:pt idx="906">
                  <c:v>78.254369999999966</c:v>
                </c:pt>
                <c:pt idx="907">
                  <c:v>78.254369999999966</c:v>
                </c:pt>
                <c:pt idx="908">
                  <c:v>78.254369999999966</c:v>
                </c:pt>
                <c:pt idx="909">
                  <c:v>78.254369999999966</c:v>
                </c:pt>
                <c:pt idx="910">
                  <c:v>78.254369999999966</c:v>
                </c:pt>
                <c:pt idx="911">
                  <c:v>78.254369999999966</c:v>
                </c:pt>
                <c:pt idx="912">
                  <c:v>78.254369999999966</c:v>
                </c:pt>
                <c:pt idx="913">
                  <c:v>78.254369999999966</c:v>
                </c:pt>
                <c:pt idx="914">
                  <c:v>78.254369999999966</c:v>
                </c:pt>
                <c:pt idx="915">
                  <c:v>78.254369999999966</c:v>
                </c:pt>
                <c:pt idx="916">
                  <c:v>78.254369999999966</c:v>
                </c:pt>
                <c:pt idx="917">
                  <c:v>78.254369999999966</c:v>
                </c:pt>
                <c:pt idx="918">
                  <c:v>78.254369999999966</c:v>
                </c:pt>
                <c:pt idx="919">
                  <c:v>78.254369999999966</c:v>
                </c:pt>
                <c:pt idx="920">
                  <c:v>78.254369999999966</c:v>
                </c:pt>
                <c:pt idx="921">
                  <c:v>78.254369999999966</c:v>
                </c:pt>
                <c:pt idx="922">
                  <c:v>78.254369999999966</c:v>
                </c:pt>
                <c:pt idx="923">
                  <c:v>78.254369999999966</c:v>
                </c:pt>
                <c:pt idx="924">
                  <c:v>78.254369999999966</c:v>
                </c:pt>
                <c:pt idx="925">
                  <c:v>78.254369999999966</c:v>
                </c:pt>
                <c:pt idx="926">
                  <c:v>78.254369999999966</c:v>
                </c:pt>
                <c:pt idx="927">
                  <c:v>78.254369999999966</c:v>
                </c:pt>
                <c:pt idx="928">
                  <c:v>78.254369999999966</c:v>
                </c:pt>
                <c:pt idx="929">
                  <c:v>78.254369999999966</c:v>
                </c:pt>
                <c:pt idx="930">
                  <c:v>78.254369999999966</c:v>
                </c:pt>
                <c:pt idx="931">
                  <c:v>78.254369999999966</c:v>
                </c:pt>
                <c:pt idx="932">
                  <c:v>78.254369999999966</c:v>
                </c:pt>
                <c:pt idx="933">
                  <c:v>78.254369999999966</c:v>
                </c:pt>
                <c:pt idx="934">
                  <c:v>78.254369999999966</c:v>
                </c:pt>
                <c:pt idx="935">
                  <c:v>78.254369999999966</c:v>
                </c:pt>
                <c:pt idx="936">
                  <c:v>78.254369999999966</c:v>
                </c:pt>
                <c:pt idx="937">
                  <c:v>78.254369999999966</c:v>
                </c:pt>
                <c:pt idx="938">
                  <c:v>78.254369999999966</c:v>
                </c:pt>
                <c:pt idx="939">
                  <c:v>78.254369999999966</c:v>
                </c:pt>
                <c:pt idx="940">
                  <c:v>78.254369999999966</c:v>
                </c:pt>
                <c:pt idx="941">
                  <c:v>78.254369999999966</c:v>
                </c:pt>
                <c:pt idx="942">
                  <c:v>78.254369999999966</c:v>
                </c:pt>
                <c:pt idx="943">
                  <c:v>78.254369999999966</c:v>
                </c:pt>
                <c:pt idx="944">
                  <c:v>78.254369999999966</c:v>
                </c:pt>
                <c:pt idx="945">
                  <c:v>78.254369999999966</c:v>
                </c:pt>
                <c:pt idx="946">
                  <c:v>78.254369999999966</c:v>
                </c:pt>
                <c:pt idx="947">
                  <c:v>78.254369999999966</c:v>
                </c:pt>
                <c:pt idx="948">
                  <c:v>78.254369999999966</c:v>
                </c:pt>
                <c:pt idx="949">
                  <c:v>78.254369999999966</c:v>
                </c:pt>
                <c:pt idx="950">
                  <c:v>78.254369999999966</c:v>
                </c:pt>
                <c:pt idx="951">
                  <c:v>78.254369999999966</c:v>
                </c:pt>
                <c:pt idx="952">
                  <c:v>78.254369999999966</c:v>
                </c:pt>
                <c:pt idx="953">
                  <c:v>78.254369999999966</c:v>
                </c:pt>
                <c:pt idx="954">
                  <c:v>78.254369999999966</c:v>
                </c:pt>
                <c:pt idx="955">
                  <c:v>78.254369999999966</c:v>
                </c:pt>
                <c:pt idx="956">
                  <c:v>78.254369999999966</c:v>
                </c:pt>
                <c:pt idx="957">
                  <c:v>78.254369999999966</c:v>
                </c:pt>
                <c:pt idx="958">
                  <c:v>78.254369999999966</c:v>
                </c:pt>
                <c:pt idx="959">
                  <c:v>78.254369999999966</c:v>
                </c:pt>
                <c:pt idx="960">
                  <c:v>78.254369999999966</c:v>
                </c:pt>
                <c:pt idx="961">
                  <c:v>78.254369999999966</c:v>
                </c:pt>
                <c:pt idx="962">
                  <c:v>78.254369999999966</c:v>
                </c:pt>
                <c:pt idx="963">
                  <c:v>78.254369999999966</c:v>
                </c:pt>
                <c:pt idx="964">
                  <c:v>78.254369999999966</c:v>
                </c:pt>
                <c:pt idx="965">
                  <c:v>78.254369999999966</c:v>
                </c:pt>
                <c:pt idx="966">
                  <c:v>78.254369999999966</c:v>
                </c:pt>
                <c:pt idx="967">
                  <c:v>78.254369999999966</c:v>
                </c:pt>
                <c:pt idx="968">
                  <c:v>78.254369999999966</c:v>
                </c:pt>
                <c:pt idx="969">
                  <c:v>78.254369999999966</c:v>
                </c:pt>
                <c:pt idx="970">
                  <c:v>78.254369999999966</c:v>
                </c:pt>
                <c:pt idx="971">
                  <c:v>78.254369999999966</c:v>
                </c:pt>
                <c:pt idx="972">
                  <c:v>78.254369999999966</c:v>
                </c:pt>
                <c:pt idx="973">
                  <c:v>78.254369999999966</c:v>
                </c:pt>
                <c:pt idx="974">
                  <c:v>78.254369999999966</c:v>
                </c:pt>
                <c:pt idx="975">
                  <c:v>78.254369999999966</c:v>
                </c:pt>
                <c:pt idx="976">
                  <c:v>78.254369999999966</c:v>
                </c:pt>
                <c:pt idx="977">
                  <c:v>78.254369999999966</c:v>
                </c:pt>
                <c:pt idx="978">
                  <c:v>78.254369999999966</c:v>
                </c:pt>
                <c:pt idx="979">
                  <c:v>78.254369999999966</c:v>
                </c:pt>
                <c:pt idx="980">
                  <c:v>78.254369999999966</c:v>
                </c:pt>
                <c:pt idx="981">
                  <c:v>78.254369999999966</c:v>
                </c:pt>
                <c:pt idx="982">
                  <c:v>78.254369999999966</c:v>
                </c:pt>
                <c:pt idx="983">
                  <c:v>78.254369999999966</c:v>
                </c:pt>
                <c:pt idx="984">
                  <c:v>78.254369999999966</c:v>
                </c:pt>
                <c:pt idx="985">
                  <c:v>78.254369999999966</c:v>
                </c:pt>
                <c:pt idx="986">
                  <c:v>78.254369999999966</c:v>
                </c:pt>
                <c:pt idx="987">
                  <c:v>78.254369999999966</c:v>
                </c:pt>
                <c:pt idx="988">
                  <c:v>78.254369999999966</c:v>
                </c:pt>
                <c:pt idx="989">
                  <c:v>78.254369999999966</c:v>
                </c:pt>
                <c:pt idx="990">
                  <c:v>78.254369999999966</c:v>
                </c:pt>
                <c:pt idx="991">
                  <c:v>78.254369999999966</c:v>
                </c:pt>
                <c:pt idx="992">
                  <c:v>78.254369999999966</c:v>
                </c:pt>
                <c:pt idx="993">
                  <c:v>78.254369999999966</c:v>
                </c:pt>
                <c:pt idx="994">
                  <c:v>78.254369999999966</c:v>
                </c:pt>
                <c:pt idx="995">
                  <c:v>78.254369999999966</c:v>
                </c:pt>
                <c:pt idx="996">
                  <c:v>78.254369999999966</c:v>
                </c:pt>
                <c:pt idx="997">
                  <c:v>78.254369999999966</c:v>
                </c:pt>
                <c:pt idx="998">
                  <c:v>78.254369999999966</c:v>
                </c:pt>
                <c:pt idx="999">
                  <c:v>78.254369999999966</c:v>
                </c:pt>
                <c:pt idx="1000">
                  <c:v>78.254369999999966</c:v>
                </c:pt>
              </c:numCache>
            </c:numRef>
          </c:yVal>
          <c:smooth val="0"/>
          <c:extLst>
            <c:ext xmlns:c16="http://schemas.microsoft.com/office/drawing/2014/chart" uri="{C3380CC4-5D6E-409C-BE32-E72D297353CC}">
              <c16:uniqueId val="{00000001-B98B-46BB-BB51-DAAA2071230C}"/>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33.600100000000211</c:v>
                </c:pt>
                <c:pt idx="518">
                  <c:v>33.600200000000214</c:v>
                </c:pt>
                <c:pt idx="519">
                  <c:v>33.600300000000217</c:v>
                </c:pt>
                <c:pt idx="520">
                  <c:v>33.600400000000221</c:v>
                </c:pt>
                <c:pt idx="521">
                  <c:v>33.600500000000224</c:v>
                </c:pt>
                <c:pt idx="522">
                  <c:v>33.600600000000227</c:v>
                </c:pt>
                <c:pt idx="523">
                  <c:v>33.600700000000231</c:v>
                </c:pt>
                <c:pt idx="524">
                  <c:v>33.600800000000234</c:v>
                </c:pt>
                <c:pt idx="525">
                  <c:v>33.600900000000237</c:v>
                </c:pt>
                <c:pt idx="526">
                  <c:v>33.601000000000241</c:v>
                </c:pt>
                <c:pt idx="527">
                  <c:v>33.601100000000244</c:v>
                </c:pt>
                <c:pt idx="528">
                  <c:v>33.601200000000247</c:v>
                </c:pt>
                <c:pt idx="529">
                  <c:v>33.601300000000251</c:v>
                </c:pt>
                <c:pt idx="530">
                  <c:v>33.601400000000254</c:v>
                </c:pt>
                <c:pt idx="531">
                  <c:v>33.601500000000257</c:v>
                </c:pt>
                <c:pt idx="532">
                  <c:v>33.601600000000261</c:v>
                </c:pt>
                <c:pt idx="533">
                  <c:v>33.601700000000264</c:v>
                </c:pt>
                <c:pt idx="534">
                  <c:v>33.601800000000267</c:v>
                </c:pt>
                <c:pt idx="535">
                  <c:v>33.601900000000271</c:v>
                </c:pt>
                <c:pt idx="536">
                  <c:v>33.602000000000274</c:v>
                </c:pt>
                <c:pt idx="537">
                  <c:v>33.602100000000277</c:v>
                </c:pt>
                <c:pt idx="538">
                  <c:v>33.602200000000281</c:v>
                </c:pt>
                <c:pt idx="539">
                  <c:v>33.602300000000284</c:v>
                </c:pt>
                <c:pt idx="540">
                  <c:v>33.602400000000287</c:v>
                </c:pt>
                <c:pt idx="541">
                  <c:v>33.60250000000029</c:v>
                </c:pt>
                <c:pt idx="542">
                  <c:v>33.602600000000294</c:v>
                </c:pt>
                <c:pt idx="543">
                  <c:v>33.602700000000297</c:v>
                </c:pt>
                <c:pt idx="544">
                  <c:v>33.6028000000003</c:v>
                </c:pt>
                <c:pt idx="545">
                  <c:v>33.602900000000304</c:v>
                </c:pt>
                <c:pt idx="546">
                  <c:v>33.603000000000307</c:v>
                </c:pt>
                <c:pt idx="547">
                  <c:v>33.60310000000031</c:v>
                </c:pt>
                <c:pt idx="548">
                  <c:v>33.603200000000314</c:v>
                </c:pt>
                <c:pt idx="549">
                  <c:v>33.603300000000317</c:v>
                </c:pt>
                <c:pt idx="550">
                  <c:v>33.60340000000032</c:v>
                </c:pt>
                <c:pt idx="551">
                  <c:v>33.603500000000324</c:v>
                </c:pt>
                <c:pt idx="552">
                  <c:v>33.603600000000327</c:v>
                </c:pt>
                <c:pt idx="553">
                  <c:v>33.60370000000033</c:v>
                </c:pt>
                <c:pt idx="554">
                  <c:v>33.603800000000334</c:v>
                </c:pt>
                <c:pt idx="555">
                  <c:v>33.603900000000337</c:v>
                </c:pt>
                <c:pt idx="556">
                  <c:v>33.60400000000034</c:v>
                </c:pt>
                <c:pt idx="557">
                  <c:v>33.604100000000344</c:v>
                </c:pt>
                <c:pt idx="558">
                  <c:v>33.604200000000347</c:v>
                </c:pt>
                <c:pt idx="559">
                  <c:v>33.60430000000035</c:v>
                </c:pt>
                <c:pt idx="560">
                  <c:v>33.604400000000354</c:v>
                </c:pt>
                <c:pt idx="561">
                  <c:v>33.604500000000357</c:v>
                </c:pt>
                <c:pt idx="562">
                  <c:v>33.60460000000036</c:v>
                </c:pt>
                <c:pt idx="563">
                  <c:v>33.604700000000364</c:v>
                </c:pt>
                <c:pt idx="564">
                  <c:v>33.604800000000367</c:v>
                </c:pt>
                <c:pt idx="565">
                  <c:v>33.60490000000037</c:v>
                </c:pt>
                <c:pt idx="566">
                  <c:v>33.605000000000373</c:v>
                </c:pt>
                <c:pt idx="567">
                  <c:v>33.605100000000377</c:v>
                </c:pt>
                <c:pt idx="568">
                  <c:v>33.60520000000038</c:v>
                </c:pt>
                <c:pt idx="569">
                  <c:v>33.605300000000383</c:v>
                </c:pt>
                <c:pt idx="570">
                  <c:v>33.605400000000387</c:v>
                </c:pt>
                <c:pt idx="571">
                  <c:v>33.60550000000039</c:v>
                </c:pt>
                <c:pt idx="572">
                  <c:v>33.605600000000393</c:v>
                </c:pt>
                <c:pt idx="573">
                  <c:v>33.605700000000397</c:v>
                </c:pt>
                <c:pt idx="574">
                  <c:v>33.6058000000004</c:v>
                </c:pt>
                <c:pt idx="575">
                  <c:v>33.605900000000403</c:v>
                </c:pt>
                <c:pt idx="576">
                  <c:v>33.606000000000407</c:v>
                </c:pt>
                <c:pt idx="577">
                  <c:v>33.60610000000041</c:v>
                </c:pt>
                <c:pt idx="578">
                  <c:v>33.606200000000413</c:v>
                </c:pt>
                <c:pt idx="579">
                  <c:v>33.606300000000417</c:v>
                </c:pt>
                <c:pt idx="580">
                  <c:v>33.60640000000042</c:v>
                </c:pt>
                <c:pt idx="581">
                  <c:v>33.606500000000423</c:v>
                </c:pt>
                <c:pt idx="582">
                  <c:v>33.606600000000427</c:v>
                </c:pt>
                <c:pt idx="583">
                  <c:v>33.60670000000043</c:v>
                </c:pt>
                <c:pt idx="584">
                  <c:v>33.606800000000433</c:v>
                </c:pt>
                <c:pt idx="585">
                  <c:v>33.606900000000437</c:v>
                </c:pt>
                <c:pt idx="586">
                  <c:v>33.60700000000044</c:v>
                </c:pt>
                <c:pt idx="587">
                  <c:v>33.607100000000443</c:v>
                </c:pt>
                <c:pt idx="588">
                  <c:v>33.607200000000446</c:v>
                </c:pt>
                <c:pt idx="589">
                  <c:v>33.60730000000045</c:v>
                </c:pt>
                <c:pt idx="590">
                  <c:v>33.607400000000453</c:v>
                </c:pt>
                <c:pt idx="591">
                  <c:v>33.607500000000456</c:v>
                </c:pt>
                <c:pt idx="592">
                  <c:v>33.60760000000046</c:v>
                </c:pt>
                <c:pt idx="593">
                  <c:v>33.607700000000463</c:v>
                </c:pt>
                <c:pt idx="594">
                  <c:v>33.607800000000466</c:v>
                </c:pt>
                <c:pt idx="595">
                  <c:v>33.60790000000047</c:v>
                </c:pt>
                <c:pt idx="596">
                  <c:v>33.608000000000473</c:v>
                </c:pt>
                <c:pt idx="597">
                  <c:v>33.608100000000476</c:v>
                </c:pt>
                <c:pt idx="598">
                  <c:v>33.60820000000048</c:v>
                </c:pt>
                <c:pt idx="599">
                  <c:v>33.608300000000483</c:v>
                </c:pt>
                <c:pt idx="600">
                  <c:v>33.608400000000486</c:v>
                </c:pt>
                <c:pt idx="601">
                  <c:v>33.60850000000049</c:v>
                </c:pt>
                <c:pt idx="602">
                  <c:v>33.608600000000493</c:v>
                </c:pt>
                <c:pt idx="603">
                  <c:v>33.608700000000496</c:v>
                </c:pt>
                <c:pt idx="604">
                  <c:v>33.6088000000005</c:v>
                </c:pt>
                <c:pt idx="605">
                  <c:v>33.608900000000503</c:v>
                </c:pt>
                <c:pt idx="606">
                  <c:v>33.609000000000506</c:v>
                </c:pt>
                <c:pt idx="607">
                  <c:v>33.60910000000051</c:v>
                </c:pt>
                <c:pt idx="608">
                  <c:v>33.609200000000513</c:v>
                </c:pt>
                <c:pt idx="609">
                  <c:v>33.609300000000516</c:v>
                </c:pt>
                <c:pt idx="610">
                  <c:v>33.60940000000052</c:v>
                </c:pt>
                <c:pt idx="611">
                  <c:v>33.609500000000523</c:v>
                </c:pt>
                <c:pt idx="612">
                  <c:v>33.609600000000526</c:v>
                </c:pt>
                <c:pt idx="613">
                  <c:v>33.609700000000529</c:v>
                </c:pt>
                <c:pt idx="614">
                  <c:v>33.609800000000533</c:v>
                </c:pt>
                <c:pt idx="615">
                  <c:v>33.609900000000536</c:v>
                </c:pt>
                <c:pt idx="616">
                  <c:v>33.610000000000539</c:v>
                </c:pt>
                <c:pt idx="617">
                  <c:v>33.610100000000543</c:v>
                </c:pt>
                <c:pt idx="618">
                  <c:v>33.610200000000546</c:v>
                </c:pt>
                <c:pt idx="619">
                  <c:v>33.610300000000549</c:v>
                </c:pt>
                <c:pt idx="620">
                  <c:v>33.610400000000553</c:v>
                </c:pt>
                <c:pt idx="621">
                  <c:v>33.610500000000556</c:v>
                </c:pt>
                <c:pt idx="622">
                  <c:v>33.610600000000559</c:v>
                </c:pt>
                <c:pt idx="623">
                  <c:v>33.610700000000563</c:v>
                </c:pt>
                <c:pt idx="624">
                  <c:v>33.610800000000566</c:v>
                </c:pt>
                <c:pt idx="625">
                  <c:v>33.610900000000569</c:v>
                </c:pt>
                <c:pt idx="626">
                  <c:v>33.611000000000573</c:v>
                </c:pt>
                <c:pt idx="627">
                  <c:v>33.611100000000576</c:v>
                </c:pt>
                <c:pt idx="628">
                  <c:v>33.611200000000579</c:v>
                </c:pt>
                <c:pt idx="629">
                  <c:v>33.611300000000583</c:v>
                </c:pt>
                <c:pt idx="630">
                  <c:v>33.611400000000586</c:v>
                </c:pt>
                <c:pt idx="631">
                  <c:v>33.611500000000589</c:v>
                </c:pt>
                <c:pt idx="632">
                  <c:v>33.611600000000593</c:v>
                </c:pt>
                <c:pt idx="633">
                  <c:v>33.611700000000596</c:v>
                </c:pt>
                <c:pt idx="634">
                  <c:v>33.611800000000599</c:v>
                </c:pt>
                <c:pt idx="635">
                  <c:v>33.611900000000603</c:v>
                </c:pt>
                <c:pt idx="636">
                  <c:v>33.612000000000606</c:v>
                </c:pt>
                <c:pt idx="637">
                  <c:v>33.612100000000609</c:v>
                </c:pt>
                <c:pt idx="638">
                  <c:v>33.612200000000612</c:v>
                </c:pt>
                <c:pt idx="639">
                  <c:v>33.612300000000616</c:v>
                </c:pt>
                <c:pt idx="640">
                  <c:v>33.612400000000619</c:v>
                </c:pt>
                <c:pt idx="641">
                  <c:v>33.612500000000622</c:v>
                </c:pt>
                <c:pt idx="642">
                  <c:v>33.612600000000626</c:v>
                </c:pt>
                <c:pt idx="643">
                  <c:v>33.612700000000629</c:v>
                </c:pt>
                <c:pt idx="644">
                  <c:v>33.612800000000632</c:v>
                </c:pt>
                <c:pt idx="645">
                  <c:v>33.612900000000636</c:v>
                </c:pt>
                <c:pt idx="646">
                  <c:v>33.613000000000639</c:v>
                </c:pt>
                <c:pt idx="647">
                  <c:v>33.613100000000642</c:v>
                </c:pt>
                <c:pt idx="648">
                  <c:v>33.613200000000646</c:v>
                </c:pt>
                <c:pt idx="649">
                  <c:v>33.613300000000649</c:v>
                </c:pt>
                <c:pt idx="650">
                  <c:v>33.613400000000652</c:v>
                </c:pt>
                <c:pt idx="651">
                  <c:v>33.613500000000656</c:v>
                </c:pt>
                <c:pt idx="652">
                  <c:v>33.613600000000659</c:v>
                </c:pt>
                <c:pt idx="653">
                  <c:v>33.613700000000662</c:v>
                </c:pt>
                <c:pt idx="654">
                  <c:v>33.613800000000666</c:v>
                </c:pt>
                <c:pt idx="655">
                  <c:v>33.613900000000669</c:v>
                </c:pt>
                <c:pt idx="656">
                  <c:v>33.614000000000672</c:v>
                </c:pt>
                <c:pt idx="657">
                  <c:v>33.614100000000676</c:v>
                </c:pt>
                <c:pt idx="658">
                  <c:v>33.614200000000679</c:v>
                </c:pt>
                <c:pt idx="659">
                  <c:v>33.614300000000682</c:v>
                </c:pt>
                <c:pt idx="660">
                  <c:v>33.614400000000686</c:v>
                </c:pt>
                <c:pt idx="661">
                  <c:v>33.614500000000689</c:v>
                </c:pt>
                <c:pt idx="662">
                  <c:v>33.614600000000692</c:v>
                </c:pt>
                <c:pt idx="663">
                  <c:v>33.614700000000695</c:v>
                </c:pt>
                <c:pt idx="664">
                  <c:v>33.614800000000699</c:v>
                </c:pt>
                <c:pt idx="665">
                  <c:v>33.614900000000702</c:v>
                </c:pt>
                <c:pt idx="666">
                  <c:v>33.615000000000705</c:v>
                </c:pt>
                <c:pt idx="667">
                  <c:v>33.615100000000709</c:v>
                </c:pt>
                <c:pt idx="668">
                  <c:v>33.615200000000712</c:v>
                </c:pt>
                <c:pt idx="669">
                  <c:v>33.615300000000715</c:v>
                </c:pt>
                <c:pt idx="670">
                  <c:v>33.615400000000719</c:v>
                </c:pt>
                <c:pt idx="671">
                  <c:v>33.615500000000722</c:v>
                </c:pt>
                <c:pt idx="672">
                  <c:v>33.615600000000725</c:v>
                </c:pt>
                <c:pt idx="673">
                  <c:v>33.615700000000729</c:v>
                </c:pt>
                <c:pt idx="674">
                  <c:v>33.615800000000732</c:v>
                </c:pt>
                <c:pt idx="675">
                  <c:v>33.615900000000735</c:v>
                </c:pt>
                <c:pt idx="676">
                  <c:v>33.616000000000739</c:v>
                </c:pt>
                <c:pt idx="677">
                  <c:v>33.616100000000742</c:v>
                </c:pt>
                <c:pt idx="678">
                  <c:v>33.616200000000745</c:v>
                </c:pt>
                <c:pt idx="679">
                  <c:v>33.616300000000749</c:v>
                </c:pt>
                <c:pt idx="680">
                  <c:v>33.616400000000752</c:v>
                </c:pt>
                <c:pt idx="681">
                  <c:v>33.616500000000755</c:v>
                </c:pt>
                <c:pt idx="682">
                  <c:v>33.616600000000759</c:v>
                </c:pt>
                <c:pt idx="683">
                  <c:v>33.616700000000762</c:v>
                </c:pt>
                <c:pt idx="684">
                  <c:v>33.616800000000765</c:v>
                </c:pt>
                <c:pt idx="685">
                  <c:v>33.616900000000769</c:v>
                </c:pt>
                <c:pt idx="686">
                  <c:v>33.617000000000772</c:v>
                </c:pt>
                <c:pt idx="687">
                  <c:v>33.617100000000775</c:v>
                </c:pt>
                <c:pt idx="688">
                  <c:v>33.617200000000778</c:v>
                </c:pt>
                <c:pt idx="689">
                  <c:v>33.617300000000782</c:v>
                </c:pt>
                <c:pt idx="690">
                  <c:v>33.617400000000785</c:v>
                </c:pt>
                <c:pt idx="691">
                  <c:v>33.617500000000788</c:v>
                </c:pt>
                <c:pt idx="692">
                  <c:v>33.617600000000792</c:v>
                </c:pt>
                <c:pt idx="693">
                  <c:v>33.617700000000795</c:v>
                </c:pt>
                <c:pt idx="694">
                  <c:v>33.617800000000798</c:v>
                </c:pt>
                <c:pt idx="695">
                  <c:v>33.617900000000802</c:v>
                </c:pt>
                <c:pt idx="696">
                  <c:v>33.618000000000805</c:v>
                </c:pt>
                <c:pt idx="697">
                  <c:v>33.618100000000808</c:v>
                </c:pt>
                <c:pt idx="698">
                  <c:v>33.618200000000812</c:v>
                </c:pt>
                <c:pt idx="699">
                  <c:v>33.618300000000815</c:v>
                </c:pt>
                <c:pt idx="700">
                  <c:v>33.618400000000818</c:v>
                </c:pt>
                <c:pt idx="701">
                  <c:v>33.618500000000822</c:v>
                </c:pt>
                <c:pt idx="702">
                  <c:v>33.618600000000825</c:v>
                </c:pt>
                <c:pt idx="703">
                  <c:v>33.618700000000828</c:v>
                </c:pt>
                <c:pt idx="704">
                  <c:v>33.618800000000832</c:v>
                </c:pt>
                <c:pt idx="705">
                  <c:v>33.618900000000835</c:v>
                </c:pt>
                <c:pt idx="706">
                  <c:v>33.619000000000838</c:v>
                </c:pt>
                <c:pt idx="707">
                  <c:v>33.619100000000842</c:v>
                </c:pt>
                <c:pt idx="708">
                  <c:v>33.619200000000845</c:v>
                </c:pt>
                <c:pt idx="709">
                  <c:v>33.619300000000848</c:v>
                </c:pt>
                <c:pt idx="710">
                  <c:v>33.619400000000851</c:v>
                </c:pt>
                <c:pt idx="711">
                  <c:v>33.619500000000855</c:v>
                </c:pt>
                <c:pt idx="712">
                  <c:v>33.619600000000858</c:v>
                </c:pt>
                <c:pt idx="713">
                  <c:v>33.619700000000861</c:v>
                </c:pt>
                <c:pt idx="714">
                  <c:v>33.619800000000865</c:v>
                </c:pt>
                <c:pt idx="715">
                  <c:v>33.619900000000868</c:v>
                </c:pt>
                <c:pt idx="716">
                  <c:v>33.620000000000871</c:v>
                </c:pt>
                <c:pt idx="717">
                  <c:v>33.620100000000875</c:v>
                </c:pt>
                <c:pt idx="718">
                  <c:v>33.620200000000878</c:v>
                </c:pt>
                <c:pt idx="719">
                  <c:v>33.620300000000881</c:v>
                </c:pt>
                <c:pt idx="720">
                  <c:v>33.620400000000885</c:v>
                </c:pt>
                <c:pt idx="721">
                  <c:v>33.620500000000888</c:v>
                </c:pt>
                <c:pt idx="722">
                  <c:v>33.620600000000891</c:v>
                </c:pt>
                <c:pt idx="723">
                  <c:v>33.620700000000895</c:v>
                </c:pt>
                <c:pt idx="724">
                  <c:v>33.620800000000898</c:v>
                </c:pt>
                <c:pt idx="725">
                  <c:v>33.620900000000901</c:v>
                </c:pt>
                <c:pt idx="726">
                  <c:v>33.621000000000905</c:v>
                </c:pt>
                <c:pt idx="727">
                  <c:v>33.621100000000908</c:v>
                </c:pt>
                <c:pt idx="728">
                  <c:v>33.621200000000911</c:v>
                </c:pt>
                <c:pt idx="729">
                  <c:v>33.621300000000915</c:v>
                </c:pt>
                <c:pt idx="730">
                  <c:v>33.621400000000918</c:v>
                </c:pt>
                <c:pt idx="731">
                  <c:v>33.621500000000921</c:v>
                </c:pt>
                <c:pt idx="732">
                  <c:v>33.621600000000925</c:v>
                </c:pt>
                <c:pt idx="733">
                  <c:v>33.621700000000928</c:v>
                </c:pt>
                <c:pt idx="734">
                  <c:v>33.621800000000931</c:v>
                </c:pt>
                <c:pt idx="735">
                  <c:v>33.621900000000934</c:v>
                </c:pt>
                <c:pt idx="736">
                  <c:v>33.622000000000938</c:v>
                </c:pt>
                <c:pt idx="737">
                  <c:v>33.622100000000941</c:v>
                </c:pt>
                <c:pt idx="738">
                  <c:v>33.622200000000944</c:v>
                </c:pt>
                <c:pt idx="739">
                  <c:v>33.622300000000948</c:v>
                </c:pt>
                <c:pt idx="740">
                  <c:v>33.622400000000951</c:v>
                </c:pt>
                <c:pt idx="741">
                  <c:v>33.622500000000954</c:v>
                </c:pt>
                <c:pt idx="742">
                  <c:v>33.622600000000958</c:v>
                </c:pt>
                <c:pt idx="743">
                  <c:v>33.622700000000961</c:v>
                </c:pt>
                <c:pt idx="744">
                  <c:v>33.622800000000964</c:v>
                </c:pt>
                <c:pt idx="745">
                  <c:v>33.622900000000968</c:v>
                </c:pt>
                <c:pt idx="746">
                  <c:v>33.623000000000971</c:v>
                </c:pt>
                <c:pt idx="747">
                  <c:v>33.623100000000974</c:v>
                </c:pt>
                <c:pt idx="748">
                  <c:v>33.623200000000978</c:v>
                </c:pt>
                <c:pt idx="749">
                  <c:v>33.623300000000981</c:v>
                </c:pt>
                <c:pt idx="750">
                  <c:v>33.623400000000984</c:v>
                </c:pt>
                <c:pt idx="751">
                  <c:v>33.623500000000988</c:v>
                </c:pt>
                <c:pt idx="752">
                  <c:v>33.623600000000991</c:v>
                </c:pt>
                <c:pt idx="753">
                  <c:v>33.623700000000994</c:v>
                </c:pt>
                <c:pt idx="754">
                  <c:v>33.623800000000998</c:v>
                </c:pt>
                <c:pt idx="755">
                  <c:v>33.623900000001001</c:v>
                </c:pt>
                <c:pt idx="756">
                  <c:v>33.624000000001004</c:v>
                </c:pt>
                <c:pt idx="757">
                  <c:v>33.624100000001008</c:v>
                </c:pt>
                <c:pt idx="758">
                  <c:v>33.624200000001011</c:v>
                </c:pt>
                <c:pt idx="759">
                  <c:v>33.624300000001014</c:v>
                </c:pt>
                <c:pt idx="760">
                  <c:v>33.624400000001017</c:v>
                </c:pt>
                <c:pt idx="761">
                  <c:v>33.624500000001021</c:v>
                </c:pt>
                <c:pt idx="762">
                  <c:v>33.624600000001024</c:v>
                </c:pt>
                <c:pt idx="763">
                  <c:v>33.624700000001027</c:v>
                </c:pt>
                <c:pt idx="764">
                  <c:v>33.624800000001031</c:v>
                </c:pt>
                <c:pt idx="765">
                  <c:v>33.624900000001034</c:v>
                </c:pt>
                <c:pt idx="766">
                  <c:v>33.625000000001037</c:v>
                </c:pt>
                <c:pt idx="767">
                  <c:v>33.625100000001041</c:v>
                </c:pt>
                <c:pt idx="768">
                  <c:v>33.625200000001044</c:v>
                </c:pt>
                <c:pt idx="769">
                  <c:v>33.625300000001047</c:v>
                </c:pt>
                <c:pt idx="770">
                  <c:v>33.625400000001051</c:v>
                </c:pt>
                <c:pt idx="771">
                  <c:v>33.625500000001054</c:v>
                </c:pt>
                <c:pt idx="772">
                  <c:v>33.625600000001057</c:v>
                </c:pt>
                <c:pt idx="773">
                  <c:v>33.625700000001061</c:v>
                </c:pt>
                <c:pt idx="774">
                  <c:v>33.625800000001064</c:v>
                </c:pt>
                <c:pt idx="775">
                  <c:v>33.625900000001067</c:v>
                </c:pt>
                <c:pt idx="776">
                  <c:v>33.626000000001071</c:v>
                </c:pt>
                <c:pt idx="777">
                  <c:v>33.626100000001074</c:v>
                </c:pt>
                <c:pt idx="778">
                  <c:v>33.626200000001077</c:v>
                </c:pt>
                <c:pt idx="779">
                  <c:v>33.626300000001081</c:v>
                </c:pt>
                <c:pt idx="780">
                  <c:v>33.626400000001084</c:v>
                </c:pt>
                <c:pt idx="781">
                  <c:v>33.626500000001087</c:v>
                </c:pt>
                <c:pt idx="782">
                  <c:v>33.626600000001091</c:v>
                </c:pt>
                <c:pt idx="783">
                  <c:v>33.626700000001094</c:v>
                </c:pt>
                <c:pt idx="784">
                  <c:v>33.626800000001097</c:v>
                </c:pt>
                <c:pt idx="785">
                  <c:v>33.6269000000011</c:v>
                </c:pt>
                <c:pt idx="786">
                  <c:v>33.627000000001104</c:v>
                </c:pt>
                <c:pt idx="787">
                  <c:v>33.627100000001107</c:v>
                </c:pt>
                <c:pt idx="788">
                  <c:v>33.62720000000111</c:v>
                </c:pt>
                <c:pt idx="789">
                  <c:v>33.627300000001114</c:v>
                </c:pt>
                <c:pt idx="790">
                  <c:v>33.627400000001117</c:v>
                </c:pt>
                <c:pt idx="791">
                  <c:v>33.62750000000112</c:v>
                </c:pt>
                <c:pt idx="792">
                  <c:v>33.627600000001124</c:v>
                </c:pt>
                <c:pt idx="793">
                  <c:v>33.627700000001127</c:v>
                </c:pt>
                <c:pt idx="794">
                  <c:v>33.62780000000113</c:v>
                </c:pt>
                <c:pt idx="795">
                  <c:v>33.627900000001134</c:v>
                </c:pt>
                <c:pt idx="796">
                  <c:v>33.628000000001137</c:v>
                </c:pt>
                <c:pt idx="797">
                  <c:v>33.62810000000114</c:v>
                </c:pt>
                <c:pt idx="798">
                  <c:v>33.628200000001144</c:v>
                </c:pt>
                <c:pt idx="799">
                  <c:v>33.628300000001147</c:v>
                </c:pt>
                <c:pt idx="800">
                  <c:v>33.62840000000115</c:v>
                </c:pt>
                <c:pt idx="801">
                  <c:v>33.628500000001154</c:v>
                </c:pt>
                <c:pt idx="802">
                  <c:v>33.628600000001157</c:v>
                </c:pt>
                <c:pt idx="803">
                  <c:v>33.62870000000116</c:v>
                </c:pt>
                <c:pt idx="804">
                  <c:v>33.628800000001164</c:v>
                </c:pt>
                <c:pt idx="805">
                  <c:v>33.628900000001167</c:v>
                </c:pt>
                <c:pt idx="806">
                  <c:v>33.62900000000117</c:v>
                </c:pt>
                <c:pt idx="807">
                  <c:v>33.629100000001173</c:v>
                </c:pt>
                <c:pt idx="808">
                  <c:v>33.629200000001177</c:v>
                </c:pt>
                <c:pt idx="809">
                  <c:v>33.62930000000118</c:v>
                </c:pt>
                <c:pt idx="810">
                  <c:v>33.629400000001183</c:v>
                </c:pt>
                <c:pt idx="811">
                  <c:v>33.629500000001187</c:v>
                </c:pt>
                <c:pt idx="812">
                  <c:v>33.62960000000119</c:v>
                </c:pt>
                <c:pt idx="813">
                  <c:v>33.629700000001193</c:v>
                </c:pt>
                <c:pt idx="814">
                  <c:v>33.629800000001197</c:v>
                </c:pt>
                <c:pt idx="815">
                  <c:v>33.6299000000012</c:v>
                </c:pt>
                <c:pt idx="816">
                  <c:v>33.630000000001203</c:v>
                </c:pt>
                <c:pt idx="817">
                  <c:v>33.630100000001207</c:v>
                </c:pt>
                <c:pt idx="818">
                  <c:v>33.63020000000121</c:v>
                </c:pt>
                <c:pt idx="819">
                  <c:v>33.630300000001213</c:v>
                </c:pt>
                <c:pt idx="820">
                  <c:v>33.630400000001217</c:v>
                </c:pt>
                <c:pt idx="821">
                  <c:v>33.63050000000122</c:v>
                </c:pt>
                <c:pt idx="822">
                  <c:v>33.630600000001223</c:v>
                </c:pt>
                <c:pt idx="823">
                  <c:v>33.630700000001227</c:v>
                </c:pt>
                <c:pt idx="824">
                  <c:v>33.63080000000123</c:v>
                </c:pt>
                <c:pt idx="825">
                  <c:v>33.630900000001233</c:v>
                </c:pt>
                <c:pt idx="826">
                  <c:v>33.631000000001237</c:v>
                </c:pt>
                <c:pt idx="827">
                  <c:v>33.63110000000124</c:v>
                </c:pt>
                <c:pt idx="828">
                  <c:v>33.631200000001243</c:v>
                </c:pt>
                <c:pt idx="829">
                  <c:v>33.631300000001247</c:v>
                </c:pt>
                <c:pt idx="830">
                  <c:v>33.63140000000125</c:v>
                </c:pt>
                <c:pt idx="831">
                  <c:v>33.631500000001253</c:v>
                </c:pt>
                <c:pt idx="832">
                  <c:v>33.631600000001256</c:v>
                </c:pt>
                <c:pt idx="833">
                  <c:v>33.63170000000126</c:v>
                </c:pt>
                <c:pt idx="834">
                  <c:v>33.631800000001263</c:v>
                </c:pt>
                <c:pt idx="835">
                  <c:v>33.631900000001266</c:v>
                </c:pt>
                <c:pt idx="836">
                  <c:v>33.63200000000127</c:v>
                </c:pt>
                <c:pt idx="837">
                  <c:v>33.632100000001273</c:v>
                </c:pt>
                <c:pt idx="838">
                  <c:v>33.632200000001276</c:v>
                </c:pt>
                <c:pt idx="839">
                  <c:v>33.63230000000128</c:v>
                </c:pt>
                <c:pt idx="840">
                  <c:v>33.632400000001283</c:v>
                </c:pt>
                <c:pt idx="841">
                  <c:v>33.632500000001286</c:v>
                </c:pt>
                <c:pt idx="842">
                  <c:v>33.63260000000129</c:v>
                </c:pt>
                <c:pt idx="843">
                  <c:v>33.632700000001293</c:v>
                </c:pt>
                <c:pt idx="844">
                  <c:v>33.632800000001296</c:v>
                </c:pt>
                <c:pt idx="845">
                  <c:v>33.6329000000013</c:v>
                </c:pt>
                <c:pt idx="846">
                  <c:v>33.633000000001303</c:v>
                </c:pt>
                <c:pt idx="847">
                  <c:v>33.633100000001306</c:v>
                </c:pt>
                <c:pt idx="848">
                  <c:v>33.63320000000131</c:v>
                </c:pt>
                <c:pt idx="849">
                  <c:v>33.633300000001313</c:v>
                </c:pt>
                <c:pt idx="850">
                  <c:v>33.633400000001316</c:v>
                </c:pt>
                <c:pt idx="851">
                  <c:v>33.63350000000132</c:v>
                </c:pt>
                <c:pt idx="852">
                  <c:v>33.633600000001323</c:v>
                </c:pt>
                <c:pt idx="853">
                  <c:v>33.633700000001326</c:v>
                </c:pt>
                <c:pt idx="854">
                  <c:v>33.63380000000133</c:v>
                </c:pt>
                <c:pt idx="855">
                  <c:v>33.633900000001333</c:v>
                </c:pt>
                <c:pt idx="856">
                  <c:v>33.634000000001336</c:v>
                </c:pt>
                <c:pt idx="857">
                  <c:v>33.634100000001339</c:v>
                </c:pt>
                <c:pt idx="858">
                  <c:v>33.634200000001343</c:v>
                </c:pt>
                <c:pt idx="859">
                  <c:v>33.634300000001346</c:v>
                </c:pt>
                <c:pt idx="860">
                  <c:v>33.634400000001349</c:v>
                </c:pt>
                <c:pt idx="861">
                  <c:v>33.634500000001353</c:v>
                </c:pt>
                <c:pt idx="862">
                  <c:v>33.634600000001356</c:v>
                </c:pt>
                <c:pt idx="863">
                  <c:v>33.634700000001359</c:v>
                </c:pt>
                <c:pt idx="864">
                  <c:v>33.634800000001363</c:v>
                </c:pt>
                <c:pt idx="865">
                  <c:v>33.634900000001366</c:v>
                </c:pt>
                <c:pt idx="866">
                  <c:v>33.635000000001369</c:v>
                </c:pt>
                <c:pt idx="867">
                  <c:v>33.635100000001373</c:v>
                </c:pt>
                <c:pt idx="868">
                  <c:v>33.635200000001376</c:v>
                </c:pt>
                <c:pt idx="869">
                  <c:v>33.635300000001379</c:v>
                </c:pt>
                <c:pt idx="870">
                  <c:v>33.635400000001383</c:v>
                </c:pt>
                <c:pt idx="871">
                  <c:v>33.635500000001386</c:v>
                </c:pt>
                <c:pt idx="872">
                  <c:v>33.635600000001389</c:v>
                </c:pt>
                <c:pt idx="873">
                  <c:v>33.635700000001393</c:v>
                </c:pt>
                <c:pt idx="874">
                  <c:v>33.635800000001396</c:v>
                </c:pt>
                <c:pt idx="875">
                  <c:v>33.635900000001399</c:v>
                </c:pt>
                <c:pt idx="876">
                  <c:v>33.636000000001403</c:v>
                </c:pt>
                <c:pt idx="877">
                  <c:v>33.636100000001406</c:v>
                </c:pt>
                <c:pt idx="878">
                  <c:v>33.636200000001409</c:v>
                </c:pt>
                <c:pt idx="879">
                  <c:v>33.636300000001413</c:v>
                </c:pt>
                <c:pt idx="880">
                  <c:v>33.636400000001416</c:v>
                </c:pt>
                <c:pt idx="881">
                  <c:v>33.636500000001419</c:v>
                </c:pt>
                <c:pt idx="882">
                  <c:v>33.636600000001422</c:v>
                </c:pt>
                <c:pt idx="883">
                  <c:v>33.636700000001426</c:v>
                </c:pt>
                <c:pt idx="884">
                  <c:v>33.636800000001429</c:v>
                </c:pt>
                <c:pt idx="885">
                  <c:v>33.636900000001432</c:v>
                </c:pt>
                <c:pt idx="886">
                  <c:v>33.637000000001436</c:v>
                </c:pt>
                <c:pt idx="887">
                  <c:v>33.637100000001439</c:v>
                </c:pt>
                <c:pt idx="888">
                  <c:v>33.637200000001442</c:v>
                </c:pt>
                <c:pt idx="889">
                  <c:v>33.637300000001446</c:v>
                </c:pt>
                <c:pt idx="890">
                  <c:v>33.637400000001449</c:v>
                </c:pt>
                <c:pt idx="891">
                  <c:v>33.637500000001452</c:v>
                </c:pt>
                <c:pt idx="892">
                  <c:v>33.637600000001456</c:v>
                </c:pt>
                <c:pt idx="893">
                  <c:v>33.637700000001459</c:v>
                </c:pt>
                <c:pt idx="894">
                  <c:v>33.637800000001462</c:v>
                </c:pt>
                <c:pt idx="895">
                  <c:v>33.637900000001466</c:v>
                </c:pt>
                <c:pt idx="896">
                  <c:v>33.638000000001469</c:v>
                </c:pt>
                <c:pt idx="897">
                  <c:v>33.638100000001472</c:v>
                </c:pt>
                <c:pt idx="898">
                  <c:v>33.638200000001476</c:v>
                </c:pt>
                <c:pt idx="899">
                  <c:v>33.638300000001479</c:v>
                </c:pt>
                <c:pt idx="900">
                  <c:v>33.638400000001482</c:v>
                </c:pt>
                <c:pt idx="901">
                  <c:v>33.638500000001486</c:v>
                </c:pt>
                <c:pt idx="902">
                  <c:v>33.638600000001489</c:v>
                </c:pt>
                <c:pt idx="903">
                  <c:v>33.638700000001492</c:v>
                </c:pt>
                <c:pt idx="904">
                  <c:v>33.638800000001496</c:v>
                </c:pt>
                <c:pt idx="905">
                  <c:v>33.638900000001499</c:v>
                </c:pt>
                <c:pt idx="906">
                  <c:v>33.639000000001502</c:v>
                </c:pt>
                <c:pt idx="907">
                  <c:v>33.639100000001505</c:v>
                </c:pt>
                <c:pt idx="908">
                  <c:v>33.639200000001509</c:v>
                </c:pt>
                <c:pt idx="909">
                  <c:v>33.639300000001512</c:v>
                </c:pt>
                <c:pt idx="910">
                  <c:v>33.639400000001515</c:v>
                </c:pt>
                <c:pt idx="911">
                  <c:v>33.639500000001519</c:v>
                </c:pt>
                <c:pt idx="912">
                  <c:v>33.639600000001522</c:v>
                </c:pt>
                <c:pt idx="913">
                  <c:v>33.639700000001525</c:v>
                </c:pt>
                <c:pt idx="914">
                  <c:v>33.639800000001529</c:v>
                </c:pt>
                <c:pt idx="915">
                  <c:v>33.639900000001532</c:v>
                </c:pt>
                <c:pt idx="916">
                  <c:v>33.640000000001535</c:v>
                </c:pt>
                <c:pt idx="917">
                  <c:v>33.640100000001539</c:v>
                </c:pt>
                <c:pt idx="918">
                  <c:v>33.640200000001542</c:v>
                </c:pt>
                <c:pt idx="919">
                  <c:v>33.640300000001545</c:v>
                </c:pt>
                <c:pt idx="920">
                  <c:v>33.640400000001549</c:v>
                </c:pt>
                <c:pt idx="921">
                  <c:v>33.640500000001552</c:v>
                </c:pt>
                <c:pt idx="922">
                  <c:v>33.640600000001555</c:v>
                </c:pt>
                <c:pt idx="923">
                  <c:v>33.640700000001559</c:v>
                </c:pt>
                <c:pt idx="924">
                  <c:v>33.640800000001562</c:v>
                </c:pt>
                <c:pt idx="925">
                  <c:v>33.640900000001565</c:v>
                </c:pt>
                <c:pt idx="926">
                  <c:v>33.641000000001569</c:v>
                </c:pt>
                <c:pt idx="927">
                  <c:v>33.641100000001572</c:v>
                </c:pt>
                <c:pt idx="928">
                  <c:v>33.641200000001575</c:v>
                </c:pt>
                <c:pt idx="929">
                  <c:v>33.641300000001578</c:v>
                </c:pt>
                <c:pt idx="930">
                  <c:v>33.641400000001582</c:v>
                </c:pt>
                <c:pt idx="931">
                  <c:v>33.641500000001585</c:v>
                </c:pt>
                <c:pt idx="932">
                  <c:v>33.641600000001588</c:v>
                </c:pt>
                <c:pt idx="933">
                  <c:v>33.641700000001592</c:v>
                </c:pt>
                <c:pt idx="934">
                  <c:v>33.641800000001595</c:v>
                </c:pt>
                <c:pt idx="935">
                  <c:v>33.641900000001598</c:v>
                </c:pt>
                <c:pt idx="936">
                  <c:v>33.642000000001602</c:v>
                </c:pt>
                <c:pt idx="937">
                  <c:v>33.642100000001605</c:v>
                </c:pt>
                <c:pt idx="938">
                  <c:v>33.642200000001608</c:v>
                </c:pt>
                <c:pt idx="939">
                  <c:v>33.642300000001612</c:v>
                </c:pt>
                <c:pt idx="940">
                  <c:v>33.642400000001615</c:v>
                </c:pt>
                <c:pt idx="941">
                  <c:v>33.642500000001618</c:v>
                </c:pt>
                <c:pt idx="942">
                  <c:v>33.642600000001622</c:v>
                </c:pt>
                <c:pt idx="943">
                  <c:v>33.642700000001625</c:v>
                </c:pt>
                <c:pt idx="944">
                  <c:v>33.642800000001628</c:v>
                </c:pt>
                <c:pt idx="945">
                  <c:v>33.642900000001632</c:v>
                </c:pt>
                <c:pt idx="946">
                  <c:v>33.643000000001635</c:v>
                </c:pt>
                <c:pt idx="947">
                  <c:v>33.643100000001638</c:v>
                </c:pt>
                <c:pt idx="948">
                  <c:v>33.643200000001642</c:v>
                </c:pt>
                <c:pt idx="949">
                  <c:v>33.643300000001645</c:v>
                </c:pt>
                <c:pt idx="950">
                  <c:v>33.643400000001648</c:v>
                </c:pt>
                <c:pt idx="951">
                  <c:v>33.643500000001652</c:v>
                </c:pt>
                <c:pt idx="952">
                  <c:v>33.643600000001655</c:v>
                </c:pt>
                <c:pt idx="953">
                  <c:v>33.643700000001658</c:v>
                </c:pt>
                <c:pt idx="954">
                  <c:v>33.643800000001661</c:v>
                </c:pt>
                <c:pt idx="955">
                  <c:v>33.643900000001665</c:v>
                </c:pt>
                <c:pt idx="956">
                  <c:v>33.644000000001668</c:v>
                </c:pt>
                <c:pt idx="957">
                  <c:v>33.644100000001671</c:v>
                </c:pt>
                <c:pt idx="958">
                  <c:v>33.644200000001675</c:v>
                </c:pt>
                <c:pt idx="959">
                  <c:v>33.644300000001678</c:v>
                </c:pt>
                <c:pt idx="960">
                  <c:v>33.644400000001681</c:v>
                </c:pt>
                <c:pt idx="961">
                  <c:v>33.644500000001685</c:v>
                </c:pt>
                <c:pt idx="962">
                  <c:v>33.644600000001688</c:v>
                </c:pt>
                <c:pt idx="963">
                  <c:v>33.644700000001691</c:v>
                </c:pt>
                <c:pt idx="964">
                  <c:v>33.644800000001695</c:v>
                </c:pt>
                <c:pt idx="965">
                  <c:v>33.644900000001698</c:v>
                </c:pt>
                <c:pt idx="966">
                  <c:v>33.645000000001701</c:v>
                </c:pt>
                <c:pt idx="967">
                  <c:v>33.645100000001705</c:v>
                </c:pt>
                <c:pt idx="968">
                  <c:v>33.645200000001708</c:v>
                </c:pt>
                <c:pt idx="969">
                  <c:v>33.645300000001711</c:v>
                </c:pt>
                <c:pt idx="970">
                  <c:v>33.645400000001715</c:v>
                </c:pt>
                <c:pt idx="971">
                  <c:v>33.645500000001718</c:v>
                </c:pt>
                <c:pt idx="972">
                  <c:v>33.645600000001721</c:v>
                </c:pt>
                <c:pt idx="973">
                  <c:v>33.645700000001725</c:v>
                </c:pt>
                <c:pt idx="974">
                  <c:v>33.645800000001728</c:v>
                </c:pt>
                <c:pt idx="975">
                  <c:v>33.645900000001731</c:v>
                </c:pt>
                <c:pt idx="976">
                  <c:v>33.646000000001735</c:v>
                </c:pt>
                <c:pt idx="977">
                  <c:v>33.646100000001738</c:v>
                </c:pt>
                <c:pt idx="978">
                  <c:v>33.646200000001741</c:v>
                </c:pt>
                <c:pt idx="979">
                  <c:v>33.646300000001744</c:v>
                </c:pt>
                <c:pt idx="980">
                  <c:v>33.646400000001748</c:v>
                </c:pt>
                <c:pt idx="981">
                  <c:v>33.646500000001751</c:v>
                </c:pt>
                <c:pt idx="982">
                  <c:v>33.646600000001754</c:v>
                </c:pt>
                <c:pt idx="983">
                  <c:v>33.646700000001758</c:v>
                </c:pt>
                <c:pt idx="984">
                  <c:v>33.646800000001761</c:v>
                </c:pt>
                <c:pt idx="985">
                  <c:v>33.646900000001764</c:v>
                </c:pt>
                <c:pt idx="986">
                  <c:v>33.647000000001768</c:v>
                </c:pt>
                <c:pt idx="987">
                  <c:v>33.647100000001771</c:v>
                </c:pt>
                <c:pt idx="988">
                  <c:v>33.647200000001774</c:v>
                </c:pt>
                <c:pt idx="989">
                  <c:v>33.647300000001778</c:v>
                </c:pt>
                <c:pt idx="990">
                  <c:v>33.647400000001781</c:v>
                </c:pt>
                <c:pt idx="991">
                  <c:v>33.647500000001784</c:v>
                </c:pt>
                <c:pt idx="992">
                  <c:v>33.647600000001788</c:v>
                </c:pt>
                <c:pt idx="993">
                  <c:v>33.647700000001791</c:v>
                </c:pt>
                <c:pt idx="994">
                  <c:v>33.647800000001794</c:v>
                </c:pt>
                <c:pt idx="995">
                  <c:v>33.647900000001798</c:v>
                </c:pt>
                <c:pt idx="996">
                  <c:v>33.648000000001801</c:v>
                </c:pt>
                <c:pt idx="997">
                  <c:v>33.648100000001804</c:v>
                </c:pt>
                <c:pt idx="998">
                  <c:v>33.648200000001808</c:v>
                </c:pt>
                <c:pt idx="999">
                  <c:v>33.648300000001811</c:v>
                </c:pt>
                <c:pt idx="1000">
                  <c:v>33.648400000001814</c:v>
                </c:pt>
              </c:numCache>
            </c:numRef>
          </c:xVal>
          <c:yVal>
            <c:numRef>
              <c:f>Calculs!$W$4:$W$1004</c:f>
              <c:numCache>
                <c:formatCode>0.00</c:formatCode>
                <c:ptCount val="1001"/>
                <c:pt idx="0">
                  <c:v>0</c:v>
                </c:pt>
                <c:pt idx="1">
                  <c:v>1.2842428811847727E-4</c:v>
                </c:pt>
                <c:pt idx="2">
                  <c:v>5.086959339662217E-3</c:v>
                </c:pt>
                <c:pt idx="3">
                  <c:v>2.5909982794347964E-2</c:v>
                </c:pt>
                <c:pt idx="4">
                  <c:v>6.126137074085361E-2</c:v>
                </c:pt>
                <c:pt idx="5">
                  <c:v>0.10952710277720482</c:v>
                </c:pt>
                <c:pt idx="6">
                  <c:v>0.17070884391546301</c:v>
                </c:pt>
                <c:pt idx="7">
                  <c:v>0.24608059545298058</c:v>
                </c:pt>
                <c:pt idx="8">
                  <c:v>0.33597847659601576</c:v>
                </c:pt>
                <c:pt idx="9">
                  <c:v>0.44074144039890767</c:v>
                </c:pt>
                <c:pt idx="10">
                  <c:v>0.5607112605808644</c:v>
                </c:pt>
                <c:pt idx="11">
                  <c:v>0.69590420959486909</c:v>
                </c:pt>
                <c:pt idx="12">
                  <c:v>0.84620303756743087</c:v>
                </c:pt>
                <c:pt idx="13">
                  <c:v>1.0117513472024662</c:v>
                </c:pt>
                <c:pt idx="14">
                  <c:v>1.1926927139648391</c:v>
                </c:pt>
                <c:pt idx="15">
                  <c:v>1.3891706719404706</c:v>
                </c:pt>
                <c:pt idx="16">
                  <c:v>1.6013286995769478</c:v>
                </c:pt>
                <c:pt idx="17">
                  <c:v>1.8293102053060222</c:v>
                </c:pt>
                <c:pt idx="18">
                  <c:v>2.0732585130493915</c:v>
                </c:pt>
                <c:pt idx="19">
                  <c:v>2.3333168476092578</c:v>
                </c:pt>
                <c:pt idx="20">
                  <c:v>2.6096283199451369</c:v>
                </c:pt>
                <c:pt idx="21">
                  <c:v>2.9020668281026762</c:v>
                </c:pt>
                <c:pt idx="22">
                  <c:v>3.2104495685880114</c:v>
                </c:pt>
                <c:pt idx="23">
                  <c:v>3.5348339950362635</c:v>
                </c:pt>
                <c:pt idx="24">
                  <c:v>3.8752768312174442</c:v>
                </c:pt>
                <c:pt idx="25">
                  <c:v>4.2318340627207895</c:v>
                </c:pt>
                <c:pt idx="26">
                  <c:v>4.6045609286889375</c:v>
                </c:pt>
                <c:pt idx="27">
                  <c:v>4.9935130527937837</c:v>
                </c:pt>
                <c:pt idx="28">
                  <c:v>5.3987455282760495</c:v>
                </c:pt>
                <c:pt idx="29">
                  <c:v>5.8203115047888465</c:v>
                </c:pt>
                <c:pt idx="30">
                  <c:v>6.2582633475527567</c:v>
                </c:pt>
                <c:pt idx="31">
                  <c:v>6.7126526297245306</c:v>
                </c:pt>
                <c:pt idx="32">
                  <c:v>7.1835301248090957</c:v>
                </c:pt>
                <c:pt idx="33">
                  <c:v>7.6709457991004593</c:v>
                </c:pt>
                <c:pt idx="34">
                  <c:v>8.1749488041572747</c:v>
                </c:pt>
                <c:pt idx="35">
                  <c:v>8.695587469318296</c:v>
                </c:pt>
                <c:pt idx="36">
                  <c:v>9.2329092942623419</c:v>
                </c:pt>
                <c:pt idx="37">
                  <c:v>9.7869609416170107</c:v>
                </c:pt>
                <c:pt idx="38">
                  <c:v>10.357788229620036</c:v>
                </c:pt>
                <c:pt idx="39">
                  <c:v>10.945436124836863</c:v>
                </c:pt>
                <c:pt idx="40">
                  <c:v>11.549948734937795</c:v>
                </c:pt>
                <c:pt idx="41">
                  <c:v>12.170940124012533</c:v>
                </c:pt>
                <c:pt idx="42">
                  <c:v>12.807978046902658</c:v>
                </c:pt>
                <c:pt idx="43">
                  <c:v>13.461035834795696</c:v>
                </c:pt>
                <c:pt idx="44">
                  <c:v>14.130085786729463</c:v>
                </c:pt>
                <c:pt idx="45">
                  <c:v>14.815099170922322</c:v>
                </c:pt>
                <c:pt idx="46">
                  <c:v>15.516046226234124</c:v>
                </c:pt>
                <c:pt idx="47">
                  <c:v>16.232896163758774</c:v>
                </c:pt>
                <c:pt idx="48">
                  <c:v>16.965617168549112</c:v>
                </c:pt>
                <c:pt idx="49">
                  <c:v>17.71417640147461</c:v>
                </c:pt>
                <c:pt idx="50">
                  <c:v>18.478540001212536</c:v>
                </c:pt>
                <c:pt idx="51">
                  <c:v>19.258673086372955</c:v>
                </c:pt>
                <c:pt idx="52">
                  <c:v>20.054539757757759</c:v>
                </c:pt>
                <c:pt idx="53">
                  <c:v>20.866103100754238</c:v>
                </c:pt>
                <c:pt idx="54">
                  <c:v>21.693325187863159</c:v>
                </c:pt>
                <c:pt idx="55">
                  <c:v>22.536167081361512</c:v>
                </c:pt>
                <c:pt idx="56">
                  <c:v>23.394588836100088</c:v>
                </c:pt>
                <c:pt idx="57">
                  <c:v>24.268549502435686</c:v>
                </c:pt>
                <c:pt idx="58">
                  <c:v>25.158007129298131</c:v>
                </c:pt>
                <c:pt idx="59">
                  <c:v>26.062918767391615</c:v>
                </c:pt>
                <c:pt idx="60">
                  <c:v>26.983240472530731</c:v>
                </c:pt>
                <c:pt idx="61">
                  <c:v>27.918927309110291</c:v>
                </c:pt>
                <c:pt idx="62">
                  <c:v>28.869933353709321</c:v>
                </c:pt>
                <c:pt idx="63">
                  <c:v>29.836211698828404</c:v>
                </c:pt>
                <c:pt idx="64">
                  <c:v>30.817714456760392</c:v>
                </c:pt>
                <c:pt idx="65">
                  <c:v>31.814392763593677</c:v>
                </c:pt>
                <c:pt idx="66">
                  <c:v>32.826196783348074</c:v>
                </c:pt>
                <c:pt idx="67">
                  <c:v>33.853075712242244</c:v>
                </c:pt>
                <c:pt idx="68">
                  <c:v>34.894977783092642</c:v>
                </c:pt>
                <c:pt idx="69">
                  <c:v>35.951850269843135</c:v>
                </c:pt>
                <c:pt idx="70">
                  <c:v>37.023639492224618</c:v>
                </c:pt>
                <c:pt idx="71">
                  <c:v>38.1102908205444</c:v>
                </c:pt>
                <c:pt idx="72">
                  <c:v>39.211748680603968</c:v>
                </c:pt>
                <c:pt idx="73">
                  <c:v>40.327956558745164</c:v>
                </c:pt>
                <c:pt idx="74">
                  <c:v>41.458857007023468</c:v>
                </c:pt>
                <c:pt idx="75">
                  <c:v>42.604391648507892</c:v>
                </c:pt>
                <c:pt idx="76">
                  <c:v>43.764501182706404</c:v>
                </c:pt>
                <c:pt idx="77">
                  <c:v>44.939125391116455</c:v>
                </c:pt>
                <c:pt idx="78">
                  <c:v>46.128203142898997</c:v>
                </c:pt>
                <c:pt idx="79">
                  <c:v>47.331672400675963</c:v>
                </c:pt>
                <c:pt idx="80">
                  <c:v>48.549470226449401</c:v>
                </c:pt>
                <c:pt idx="81">
                  <c:v>49.780650044405832</c:v>
                </c:pt>
                <c:pt idx="82">
                  <c:v>51.024219026004552</c:v>
                </c:pt>
                <c:pt idx="83">
                  <c:v>52.280044189229564</c:v>
                </c:pt>
                <c:pt idx="84">
                  <c:v>53.54799191788689</c:v>
                </c:pt>
                <c:pt idx="85">
                  <c:v>54.827927977643675</c:v>
                </c:pt>
                <c:pt idx="86">
                  <c:v>56.119717532124447</c:v>
                </c:pt>
                <c:pt idx="87">
                  <c:v>57.423225159061452</c:v>
                </c:pt>
                <c:pt idx="88">
                  <c:v>58.73831486649518</c:v>
                </c:pt>
                <c:pt idx="89">
                  <c:v>60.064850109021776</c:v>
                </c:pt>
                <c:pt idx="90">
                  <c:v>61.402693804083974</c:v>
                </c:pt>
                <c:pt idx="91">
                  <c:v>62.751270330236416</c:v>
                </c:pt>
                <c:pt idx="92">
                  <c:v>64.109984046426149</c:v>
                </c:pt>
                <c:pt idx="93">
                  <c:v>65.478667504139466</c:v>
                </c:pt>
                <c:pt idx="94">
                  <c:v>66.857152976519757</c:v>
                </c:pt>
                <c:pt idx="95">
                  <c:v>68.245272479031243</c:v>
                </c:pt>
                <c:pt idx="96">
                  <c:v>69.642857790090403</c:v>
                </c:pt>
                <c:pt idx="97">
                  <c:v>71.04974047166067</c:v>
                </c:pt>
                <c:pt idx="98">
                  <c:v>72.465751889805588</c:v>
                </c:pt>
                <c:pt idx="99">
                  <c:v>73.890723235196901</c:v>
                </c:pt>
                <c:pt idx="100">
                  <c:v>75.324485543572663</c:v>
                </c:pt>
                <c:pt idx="101">
                  <c:v>76.76679220984181</c:v>
                </c:pt>
                <c:pt idx="102">
                  <c:v>78.217393504098453</c:v>
                </c:pt>
                <c:pt idx="103">
                  <c:v>79.676115686702772</c:v>
                </c:pt>
                <c:pt idx="104">
                  <c:v>81.142784982381556</c:v>
                </c:pt>
                <c:pt idx="105">
                  <c:v>82.617227600996458</c:v>
                </c:pt>
                <c:pt idx="106">
                  <c:v>84.09926975822556</c:v>
                </c:pt>
                <c:pt idx="107">
                  <c:v>85.588737696155562</c:v>
                </c:pt>
                <c:pt idx="108">
                  <c:v>87.085457703779568</c:v>
                </c:pt>
                <c:pt idx="109">
                  <c:v>88.589256137396603</c:v>
                </c:pt>
                <c:pt idx="110">
                  <c:v>90.09995944090916</c:v>
                </c:pt>
                <c:pt idx="111">
                  <c:v>91.618369162125418</c:v>
                </c:pt>
                <c:pt idx="112">
                  <c:v>93.145320282487376</c:v>
                </c:pt>
                <c:pt idx="113">
                  <c:v>94.680688516771482</c:v>
                </c:pt>
                <c:pt idx="114">
                  <c:v>96.224349334361804</c:v>
                </c:pt>
                <c:pt idx="115">
                  <c:v>97.776177972726984</c:v>
                </c:pt>
                <c:pt idx="116">
                  <c:v>99.336049450884005</c:v>
                </c:pt>
                <c:pt idx="117">
                  <c:v>100.90383858284737</c:v>
                </c:pt>
                <c:pt idx="118">
                  <c:v>102.47941999106015</c:v>
                </c:pt>
                <c:pt idx="119">
                  <c:v>104.06266811980537</c:v>
                </c:pt>
                <c:pt idx="120">
                  <c:v>105.65345724859412</c:v>
                </c:pt>
                <c:pt idx="121">
                  <c:v>107.24991175028958</c:v>
                </c:pt>
                <c:pt idx="122">
                  <c:v>108.85010235968947</c:v>
                </c:pt>
                <c:pt idx="123">
                  <c:v>110.45382479690427</c:v>
                </c:pt>
                <c:pt idx="124">
                  <c:v>112.06087548203679</c:v>
                </c:pt>
                <c:pt idx="125">
                  <c:v>113.6710515578545</c:v>
                </c:pt>
                <c:pt idx="126">
                  <c:v>115.28415091219975</c:v>
                </c:pt>
                <c:pt idx="127">
                  <c:v>116.89997220013454</c:v>
                </c:pt>
                <c:pt idx="128">
                  <c:v>118.51831486581567</c:v>
                </c:pt>
                <c:pt idx="129">
                  <c:v>120.13897916409805</c:v>
                </c:pt>
                <c:pt idx="130">
                  <c:v>121.76176618186207</c:v>
                </c:pt>
                <c:pt idx="131">
                  <c:v>123.38598653568665</c:v>
                </c:pt>
                <c:pt idx="132">
                  <c:v>125.01093854455569</c:v>
                </c:pt>
                <c:pt idx="133">
                  <c:v>126.63640683002127</c:v>
                </c:pt>
                <c:pt idx="134">
                  <c:v>128.2621772145981</c:v>
                </c:pt>
                <c:pt idx="135">
                  <c:v>129.8880367437078</c:v>
                </c:pt>
                <c:pt idx="136">
                  <c:v>131.51377370724924</c:v>
                </c:pt>
                <c:pt idx="137">
                  <c:v>133.13917766079069</c:v>
                </c:pt>
                <c:pt idx="138">
                  <c:v>134.76403944638287</c:v>
                </c:pt>
                <c:pt idx="139">
                  <c:v>136.3881512129897</c:v>
                </c:pt>
                <c:pt idx="140">
                  <c:v>138.01130643653661</c:v>
                </c:pt>
                <c:pt idx="141">
                  <c:v>139.62705137527681</c:v>
                </c:pt>
                <c:pt idx="142">
                  <c:v>141.22878818705732</c:v>
                </c:pt>
                <c:pt idx="143">
                  <c:v>142.81610662238847</c:v>
                </c:pt>
                <c:pt idx="144">
                  <c:v>144.38860336560302</c:v>
                </c:pt>
                <c:pt idx="145">
                  <c:v>145.94588206852427</c:v>
                </c:pt>
                <c:pt idx="146">
                  <c:v>147.4875533819189</c:v>
                </c:pt>
                <c:pt idx="147">
                  <c:v>149.01323498474778</c:v>
                </c:pt>
                <c:pt idx="148">
                  <c:v>150.52255161123483</c:v>
                </c:pt>
                <c:pt idx="149">
                  <c:v>152.01513507577295</c:v>
                </c:pt>
                <c:pt idx="150">
                  <c:v>153.49062429568471</c:v>
                </c:pt>
                <c:pt idx="151">
                  <c:v>154.94866531186059</c:v>
                </c:pt>
                <c:pt idx="152">
                  <c:v>156.38891130729493</c:v>
                </c:pt>
                <c:pt idx="153">
                  <c:v>157.81102262354128</c:v>
                </c:pt>
                <c:pt idx="154">
                  <c:v>159.21466677511017</c:v>
                </c:pt>
                <c:pt idx="155">
                  <c:v>160.59951846183378</c:v>
                </c:pt>
                <c:pt idx="156">
                  <c:v>161.93340358221258</c:v>
                </c:pt>
                <c:pt idx="157">
                  <c:v>163.18365962899097</c:v>
                </c:pt>
                <c:pt idx="158">
                  <c:v>164.34933131276475</c:v>
                </c:pt>
                <c:pt idx="159">
                  <c:v>165.42954671174039</c:v>
                </c:pt>
                <c:pt idx="160">
                  <c:v>166.42351703077804</c:v>
                </c:pt>
                <c:pt idx="161">
                  <c:v>167.28938210557862</c:v>
                </c:pt>
                <c:pt idx="162">
                  <c:v>167.98504211345482</c:v>
                </c:pt>
                <c:pt idx="163">
                  <c:v>168.51361529802452</c:v>
                </c:pt>
                <c:pt idx="164">
                  <c:v>168.87852495147345</c:v>
                </c:pt>
                <c:pt idx="165">
                  <c:v>169.11904255824456</c:v>
                </c:pt>
                <c:pt idx="166">
                  <c:v>169.27467018688483</c:v>
                </c:pt>
                <c:pt idx="167">
                  <c:v>169.31540289217531</c:v>
                </c:pt>
                <c:pt idx="168">
                  <c:v>169.23312854482711</c:v>
                </c:pt>
                <c:pt idx="169">
                  <c:v>168.966209015142</c:v>
                </c:pt>
                <c:pt idx="170">
                  <c:v>168.49699186458909</c:v>
                </c:pt>
                <c:pt idx="171">
                  <c:v>167.96063011634891</c:v>
                </c:pt>
                <c:pt idx="172">
                  <c:v>167.42637817189149</c:v>
                </c:pt>
                <c:pt idx="173">
                  <c:v>166.89422503112434</c:v>
                </c:pt>
                <c:pt idx="174">
                  <c:v>166.36415976631707</c:v>
                </c:pt>
                <c:pt idx="175">
                  <c:v>165.83617152152888</c:v>
                </c:pt>
                <c:pt idx="176">
                  <c:v>165.31024951204085</c:v>
                </c:pt>
                <c:pt idx="177">
                  <c:v>164.78638302379423</c:v>
                </c:pt>
                <c:pt idx="178">
                  <c:v>164.26456141283347</c:v>
                </c:pt>
                <c:pt idx="179">
                  <c:v>163.74477410475458</c:v>
                </c:pt>
                <c:pt idx="180">
                  <c:v>163.22701059415834</c:v>
                </c:pt>
                <c:pt idx="181">
                  <c:v>162.71126044410889</c:v>
                </c:pt>
                <c:pt idx="182">
                  <c:v>162.1975132855967</c:v>
                </c:pt>
                <c:pt idx="183">
                  <c:v>161.68575881700735</c:v>
                </c:pt>
                <c:pt idx="184">
                  <c:v>161.17598680359413</c:v>
                </c:pt>
                <c:pt idx="185">
                  <c:v>160.66818707695646</c:v>
                </c:pt>
                <c:pt idx="186">
                  <c:v>160.16234953452215</c:v>
                </c:pt>
                <c:pt idx="187">
                  <c:v>159.6584641390352</c:v>
                </c:pt>
                <c:pt idx="188">
                  <c:v>159.15652091804753</c:v>
                </c:pt>
                <c:pt idx="189">
                  <c:v>158.65650996341611</c:v>
                </c:pt>
                <c:pt idx="190">
                  <c:v>158.15842143080383</c:v>
                </c:pt>
                <c:pt idx="191">
                  <c:v>157.66224553918548</c:v>
                </c:pt>
                <c:pt idx="192">
                  <c:v>157.16797257035799</c:v>
                </c:pt>
                <c:pt idx="193">
                  <c:v>156.67559286845511</c:v>
                </c:pt>
                <c:pt idx="194">
                  <c:v>156.18509683946681</c:v>
                </c:pt>
                <c:pt idx="195">
                  <c:v>155.69647495076188</c:v>
                </c:pt>
                <c:pt idx="196">
                  <c:v>155.20971773061655</c:v>
                </c:pt>
                <c:pt idx="197">
                  <c:v>154.72481576774598</c:v>
                </c:pt>
                <c:pt idx="198">
                  <c:v>154.24175971084048</c:v>
                </c:pt>
                <c:pt idx="199">
                  <c:v>153.76054026810593</c:v>
                </c:pt>
                <c:pt idx="200">
                  <c:v>153.28114820680781</c:v>
                </c:pt>
                <c:pt idx="201">
                  <c:v>148.54494699773571</c:v>
                </c:pt>
                <c:pt idx="202">
                  <c:v>143.98537221194772</c:v>
                </c:pt>
                <c:pt idx="203">
                  <c:v>139.59380002052541</c:v>
                </c:pt>
                <c:pt idx="204">
                  <c:v>135.36213349340997</c:v>
                </c:pt>
                <c:pt idx="205">
                  <c:v>131.2827642573875</c:v>
                </c:pt>
                <c:pt idx="206">
                  <c:v>127.34853738439473</c:v>
                </c:pt>
                <c:pt idx="207">
                  <c:v>123.55271920184195</c:v>
                </c:pt>
                <c:pt idx="208">
                  <c:v>119.88896774944594</c:v>
                </c:pt>
                <c:pt idx="209">
                  <c:v>116.35130563602418</c:v>
                </c:pt>
                <c:pt idx="210">
                  <c:v>112.93409507530951</c:v>
                </c:pt>
                <c:pt idx="211">
                  <c:v>109.63201490252374</c:v>
                </c:pt>
                <c:pt idx="212">
                  <c:v>106.44003939356647</c:v>
                </c:pt>
                <c:pt idx="213">
                  <c:v>103.35341872654499</c:v>
                </c:pt>
                <c:pt idx="214">
                  <c:v>100.36766094126627</c:v>
                </c:pt>
                <c:pt idx="215">
                  <c:v>97.478515266472058</c:v>
                </c:pt>
                <c:pt idx="216">
                  <c:v>94.681956697230049</c:v>
                </c:pt>
                <c:pt idx="217">
                  <c:v>91.974171716170559</c:v>
                </c:pt>
                <c:pt idx="218">
                  <c:v>89.351545062351946</c:v>
                </c:pt>
                <c:pt idx="219">
                  <c:v>86.810647460567324</c:v>
                </c:pt>
                <c:pt idx="220">
                  <c:v>84.348224232007638</c:v>
                </c:pt>
                <c:pt idx="221">
                  <c:v>81.961184714463855</c:v>
                </c:pt>
                <c:pt idx="222">
                  <c:v>79.646592426785688</c:v>
                </c:pt>
                <c:pt idx="223">
                  <c:v>77.401655918192944</c:v>
                </c:pt>
                <c:pt idx="224">
                  <c:v>75.22372024832967</c:v>
                </c:pt>
                <c:pt idx="225">
                  <c:v>73.110259048726547</c:v>
                </c:pt>
                <c:pt idx="226">
                  <c:v>71.058867120646681</c:v>
                </c:pt>
                <c:pt idx="227">
                  <c:v>69.067253528185347</c:v>
                </c:pt>
                <c:pt idx="228">
                  <c:v>67.133235149017253</c:v>
                </c:pt>
                <c:pt idx="229">
                  <c:v>65.254730648375897</c:v>
                </c:pt>
                <c:pt idx="230">
                  <c:v>63.429754844740806</c:v>
                </c:pt>
                <c:pt idx="231">
                  <c:v>61.656413438333097</c:v>
                </c:pt>
                <c:pt idx="232">
                  <c:v>59.932898075903296</c:v>
                </c:pt>
                <c:pt idx="233">
                  <c:v>58.257481727459933</c:v>
                </c:pt>
                <c:pt idx="234">
                  <c:v>56.628514352560167</c:v>
                </c:pt>
                <c:pt idx="235">
                  <c:v>55.044418835578</c:v>
                </c:pt>
                <c:pt idx="236">
                  <c:v>53.503687171002149</c:v>
                </c:pt>
                <c:pt idx="237">
                  <c:v>52.004876881307062</c:v>
                </c:pt>
                <c:pt idx="238">
                  <c:v>50.546607651305642</c:v>
                </c:pt>
                <c:pt idx="239">
                  <c:v>49.127558164135749</c:v>
                </c:pt>
                <c:pt idx="240">
                  <c:v>47.746463125172454</c:v>
                </c:pt>
                <c:pt idx="241">
                  <c:v>46.402110461200792</c:v>
                </c:pt>
                <c:pt idx="242">
                  <c:v>45.093338683138583</c:v>
                </c:pt>
                <c:pt idx="243">
                  <c:v>43.819034401474241</c:v>
                </c:pt>
                <c:pt idx="244">
                  <c:v>42.578129984388724</c:v>
                </c:pt>
                <c:pt idx="245">
                  <c:v>41.369601349267015</c:v>
                </c:pt>
                <c:pt idx="246">
                  <c:v>40.192465878983676</c:v>
                </c:pt>
                <c:pt idx="247">
                  <c:v>39.045780454968998</c:v>
                </c:pt>
                <c:pt idx="248">
                  <c:v>37.928639599636149</c:v>
                </c:pt>
                <c:pt idx="249">
                  <c:v>36.840173721277978</c:v>
                </c:pt>
                <c:pt idx="250">
                  <c:v>35.779547455027867</c:v>
                </c:pt>
                <c:pt idx="251">
                  <c:v>34.745958093928273</c:v>
                </c:pt>
                <c:pt idx="252">
                  <c:v>33.738634104564362</c:v>
                </c:pt>
                <c:pt idx="253">
                  <c:v>32.756833722101675</c:v>
                </c:pt>
                <c:pt idx="254">
                  <c:v>31.799843619920679</c:v>
                </c:pt>
                <c:pt idx="255">
                  <c:v>30.866977649366778</c:v>
                </c:pt>
                <c:pt idx="256">
                  <c:v>29.957575645436414</c:v>
                </c:pt>
                <c:pt idx="257">
                  <c:v>29.071002294499383</c:v>
                </c:pt>
                <c:pt idx="258">
                  <c:v>28.20664606041634</c:v>
                </c:pt>
                <c:pt idx="259">
                  <c:v>27.363918165649782</c:v>
                </c:pt>
                <c:pt idx="260">
                  <c:v>26.542251624190161</c:v>
                </c:pt>
                <c:pt idx="261">
                  <c:v>25.741100323323796</c:v>
                </c:pt>
                <c:pt idx="262">
                  <c:v>24.959938151461987</c:v>
                </c:pt>
                <c:pt idx="263">
                  <c:v>24.198258169427589</c:v>
                </c:pt>
                <c:pt idx="264">
                  <c:v>23.455571822761485</c:v>
                </c:pt>
                <c:pt idx="265">
                  <c:v>22.731408192764153</c:v>
                </c:pt>
                <c:pt idx="266">
                  <c:v>22.02531328413145</c:v>
                </c:pt>
                <c:pt idx="267">
                  <c:v>21.336849347175956</c:v>
                </c:pt>
                <c:pt idx="268">
                  <c:v>20.665594232749729</c:v>
                </c:pt>
                <c:pt idx="269">
                  <c:v>20.011140778099357</c:v>
                </c:pt>
                <c:pt idx="270">
                  <c:v>19.373096221992093</c:v>
                </c:pt>
                <c:pt idx="271">
                  <c:v>18.751081647551931</c:v>
                </c:pt>
                <c:pt idx="272">
                  <c:v>18.144731451338316</c:v>
                </c:pt>
                <c:pt idx="273">
                  <c:v>17.553692837287247</c:v>
                </c:pt>
                <c:pt idx="274">
                  <c:v>16.977625334216356</c:v>
                </c:pt>
                <c:pt idx="275">
                  <c:v>16.41620033567165</c:v>
                </c:pt>
                <c:pt idx="276">
                  <c:v>15.869100660964577</c:v>
                </c:pt>
                <c:pt idx="277">
                  <c:v>15.336020136314783</c:v>
                </c:pt>
                <c:pt idx="278">
                  <c:v>14.816663195076124</c:v>
                </c:pt>
                <c:pt idx="279">
                  <c:v>14.310744496081314</c:v>
                </c:pt>
                <c:pt idx="280">
                  <c:v>13.817988559195566</c:v>
                </c:pt>
                <c:pt idx="281">
                  <c:v>13.338129417219553</c:v>
                </c:pt>
                <c:pt idx="282">
                  <c:v>12.870910283330474</c:v>
                </c:pt>
                <c:pt idx="283">
                  <c:v>12.416083233293818</c:v>
                </c:pt>
                <c:pt idx="284">
                  <c:v>11.973408901720372</c:v>
                </c:pt>
                <c:pt idx="285">
                  <c:v>11.542656191681667</c:v>
                </c:pt>
                <c:pt idx="286">
                  <c:v>11.123601997033619</c:v>
                </c:pt>
                <c:pt idx="287">
                  <c:v>10.716030936831784</c:v>
                </c:pt>
                <c:pt idx="288">
                  <c:v>10.319735101253436</c:v>
                </c:pt>
                <c:pt idx="289">
                  <c:v>9.9345138084712374</c:v>
                </c:pt>
                <c:pt idx="290">
                  <c:v>9.5601733719503823</c:v>
                </c:pt>
                <c:pt idx="291">
                  <c:v>9.1965268776670435</c:v>
                </c:pt>
                <c:pt idx="292">
                  <c:v>8.8433939707690996</c:v>
                </c:pt>
                <c:pt idx="293">
                  <c:v>8.5006006512222001</c:v>
                </c:pt>
                <c:pt idx="294">
                  <c:v>8.1679790780041444</c:v>
                </c:pt>
                <c:pt idx="295">
                  <c:v>7.8453673814288907</c:v>
                </c:pt>
                <c:pt idx="296">
                  <c:v>7.5326094831981747</c:v>
                </c:pt>
                <c:pt idx="297">
                  <c:v>7.2295549237937049</c:v>
                </c:pt>
                <c:pt idx="298">
                  <c:v>6.9360586968362865</c:v>
                </c:pt>
                <c:pt idx="299">
                  <c:v>6.6519810900498992</c:v>
                </c:pt>
                <c:pt idx="300">
                  <c:v>6.3771875324787661</c:v>
                </c:pt>
                <c:pt idx="301">
                  <c:v>6.1115484476138997</c:v>
                </c:pt>
                <c:pt idx="302">
                  <c:v>5.8549391120921301</c:v>
                </c:pt>
                <c:pt idx="303">
                  <c:v>5.6072395196355105</c:v>
                </c:pt>
                <c:pt idx="304">
                  <c:v>5.3683342499019622</c:v>
                </c:pt>
                <c:pt idx="305">
                  <c:v>5.1381123419191228</c:v>
                </c:pt>
                <c:pt idx="306">
                  <c:v>4.9164671717724255</c:v>
                </c:pt>
                <c:pt idx="307">
                  <c:v>4.7032963342154641</c:v>
                </c:pt>
                <c:pt idx="308">
                  <c:v>4.4985015278655984</c:v>
                </c:pt>
                <c:pt idx="309">
                  <c:v>4.3019884436403455</c:v>
                </c:pt>
                <c:pt idx="310">
                  <c:v>4.1136666560806239</c:v>
                </c:pt>
                <c:pt idx="311">
                  <c:v>3.9334495171949739</c:v>
                </c:pt>
                <c:pt idx="312">
                  <c:v>3.761254052444877</c:v>
                </c:pt>
                <c:pt idx="313">
                  <c:v>3.5970008584751243</c:v>
                </c:pt>
                <c:pt idx="314">
                  <c:v>3.4406140021751481</c:v>
                </c:pt>
                <c:pt idx="315">
                  <c:v>3.2920209206377078</c:v>
                </c:pt>
                <c:pt idx="316">
                  <c:v>3.1511523215607999</c:v>
                </c:pt>
                <c:pt idx="317">
                  <c:v>3.0179420836179065</c:v>
                </c:pt>
                <c:pt idx="318">
                  <c:v>2.8923271563017776</c:v>
                </c:pt>
                <c:pt idx="319">
                  <c:v>2.7742474587291448</c:v>
                </c:pt>
                <c:pt idx="320">
                  <c:v>2.6636457768797488</c:v>
                </c:pt>
                <c:pt idx="321">
                  <c:v>2.5604676587350257</c:v>
                </c:pt>
                <c:pt idx="322">
                  <c:v>2.4646613067820233</c:v>
                </c:pt>
                <c:pt idx="323">
                  <c:v>2.3761774673595148</c:v>
                </c:pt>
                <c:pt idx="324">
                  <c:v>2.2949693163487863</c:v>
                </c:pt>
                <c:pt idx="325">
                  <c:v>2.2209923407543966</c:v>
                </c:pt>
                <c:pt idx="326">
                  <c:v>2.1542042157831416</c:v>
                </c:pt>
                <c:pt idx="327">
                  <c:v>2.0945646771150419</c:v>
                </c:pt>
                <c:pt idx="328">
                  <c:v>2.0420353881698388</c:v>
                </c:pt>
                <c:pt idx="329">
                  <c:v>1.9965798023064241</c:v>
                </c:pt>
                <c:pt idx="330">
                  <c:v>1.9581630200490461</c:v>
                </c:pt>
                <c:pt idx="331">
                  <c:v>1.9267516416093438</c:v>
                </c:pt>
                <c:pt idx="332">
                  <c:v>1.9023136151608764</c:v>
                </c:pt>
                <c:pt idx="333">
                  <c:v>1.8848180815144899</c:v>
                </c:pt>
                <c:pt idx="334">
                  <c:v>1.8742352160282629</c:v>
                </c:pt>
                <c:pt idx="335">
                  <c:v>1.8705360687535197</c:v>
                </c:pt>
                <c:pt idx="336">
                  <c:v>1.8736924039572154</c:v>
                </c:pt>
                <c:pt idx="337">
                  <c:v>1.8836765402607238</c:v>
                </c:pt>
                <c:pt idx="338">
                  <c:v>1.9004611926881811</c:v>
                </c:pt>
                <c:pt idx="339">
                  <c:v>1.9240193179198501</c:v>
                </c:pt>
                <c:pt idx="340">
                  <c:v>1.9543239639973113</c:v>
                </c:pt>
                <c:pt idx="341">
                  <c:v>1.9913481256317092</c:v>
                </c:pt>
                <c:pt idx="342">
                  <c:v>2.0350646061309923</c:v>
                </c:pt>
                <c:pt idx="343">
                  <c:v>2.0854458867973351</c:v>
                </c:pt>
                <c:pt idx="344">
                  <c:v>2.1424640044629264</c:v>
                </c:pt>
                <c:pt idx="345">
                  <c:v>2.2060904376425925</c:v>
                </c:pt>
                <c:pt idx="346">
                  <c:v>2.2762960015958655</c:v>
                </c:pt>
                <c:pt idx="347">
                  <c:v>2.3530507524176043</c:v>
                </c:pt>
                <c:pt idx="348">
                  <c:v>2.4363239001218191</c:v>
                </c:pt>
                <c:pt idx="349">
                  <c:v>2.5260837305516972</c:v>
                </c:pt>
                <c:pt idx="350">
                  <c:v>2.6222975358419824</c:v>
                </c:pt>
                <c:pt idx="351">
                  <c:v>2.7249315530776888</c:v>
                </c:pt>
                <c:pt idx="352">
                  <c:v>2.8339509107341549</c:v>
                </c:pt>
                <c:pt idx="353">
                  <c:v>2.9493195824451992</c:v>
                </c:pt>
                <c:pt idx="354">
                  <c:v>3.0710003476257315</c:v>
                </c:pt>
                <c:pt idx="355">
                  <c:v>3.1989547584693288</c:v>
                </c:pt>
                <c:pt idx="356">
                  <c:v>3.3331431128470292</c:v>
                </c:pt>
                <c:pt idx="357">
                  <c:v>3.4735244326479697</c:v>
                </c:pt>
                <c:pt idx="358">
                  <c:v>3.6200564471231282</c:v>
                </c:pt>
                <c:pt idx="359">
                  <c:v>3.7726955808180875</c:v>
                </c:pt>
                <c:pt idx="360">
                  <c:v>3.9313969457078728</c:v>
                </c:pt>
                <c:pt idx="361">
                  <c:v>4.0961143371749698</c:v>
                </c:pt>
                <c:pt idx="362">
                  <c:v>4.266800233499823</c:v>
                </c:pt>
                <c:pt idx="363">
                  <c:v>4.4434057985605078</c:v>
                </c:pt>
                <c:pt idx="364">
                  <c:v>4.6258808874644588</c:v>
                </c:pt>
                <c:pt idx="365">
                  <c:v>4.8141740548597802</c:v>
                </c:pt>
                <c:pt idx="366">
                  <c:v>5.0082325656964697</c:v>
                </c:pt>
                <c:pt idx="367">
                  <c:v>5.2080024082290084</c:v>
                </c:pt>
                <c:pt idx="368">
                  <c:v>5.4134283090708069</c:v>
                </c:pt>
                <c:pt idx="369">
                  <c:v>5.6244537501285246</c:v>
                </c:pt>
                <c:pt idx="370">
                  <c:v>5.8410209872598502</c:v>
                </c:pt>
                <c:pt idx="371">
                  <c:v>6.0630710705123878</c:v>
                </c:pt>
                <c:pt idx="372">
                  <c:v>6.2905438658139632</c:v>
                </c:pt>
                <c:pt idx="373">
                  <c:v>6.5233780779957877</c:v>
                </c:pt>
                <c:pt idx="374">
                  <c:v>6.761511275039978</c:v>
                </c:pt>
                <c:pt idx="375">
                  <c:v>7.0048799134517745</c:v>
                </c:pt>
                <c:pt idx="376">
                  <c:v>7.2534193646647314</c:v>
                </c:pt>
                <c:pt idx="377">
                  <c:v>7.5070639423941143</c:v>
                </c:pt>
                <c:pt idx="378">
                  <c:v>7.7657469308599838</c:v>
                </c:pt>
                <c:pt idx="379">
                  <c:v>8.0294006138069776</c:v>
                </c:pt>
                <c:pt idx="380">
                  <c:v>8.2979563042526365</c:v>
                </c:pt>
                <c:pt idx="381">
                  <c:v>8.5713443749005744</c:v>
                </c:pt>
                <c:pt idx="382">
                  <c:v>8.8494942891586277</c:v>
                </c:pt>
                <c:pt idx="383">
                  <c:v>9.1323346327055486</c:v>
                </c:pt>
                <c:pt idx="384">
                  <c:v>9.419793145552994</c:v>
                </c:pt>
                <c:pt idx="385">
                  <c:v>9.7117967545522585</c:v>
                </c:pt>
                <c:pt idx="386">
                  <c:v>10.008271606297717</c:v>
                </c:pt>
                <c:pt idx="387">
                  <c:v>10.309143100381288</c:v>
                </c:pt>
                <c:pt idx="388">
                  <c:v>10.614335922954066</c:v>
                </c:pt>
                <c:pt idx="389">
                  <c:v>10.923774080553338</c:v>
                </c:pt>
                <c:pt idx="390">
                  <c:v>11.237380934154833</c:v>
                </c:pt>
                <c:pt idx="391">
                  <c:v>11.55507923341149</c:v>
                </c:pt>
                <c:pt idx="392">
                  <c:v>11.876791151041628</c:v>
                </c:pt>
                <c:pt idx="393">
                  <c:v>12.202438317330664</c:v>
                </c:pt>
                <c:pt idx="394">
                  <c:v>12.531941854711768</c:v>
                </c:pt>
                <c:pt idx="395">
                  <c:v>12.865222412391999</c:v>
                </c:pt>
                <c:pt idx="396">
                  <c:v>13.202200200991539</c:v>
                </c:pt>
                <c:pt idx="397">
                  <c:v>13.542795027164843</c:v>
                </c:pt>
                <c:pt idx="398">
                  <c:v>13.886926328173201</c:v>
                </c:pt>
                <c:pt idx="399">
                  <c:v>14.234513206379557</c:v>
                </c:pt>
                <c:pt idx="400">
                  <c:v>14.585474463636919</c:v>
                </c:pt>
                <c:pt idx="401">
                  <c:v>14.939728635542979</c:v>
                </c:pt>
                <c:pt idx="402">
                  <c:v>15.297194025534166</c:v>
                </c:pt>
                <c:pt idx="403">
                  <c:v>15.657788738793144</c:v>
                </c:pt>
                <c:pt idx="404">
                  <c:v>16.021430715944913</c:v>
                </c:pt>
                <c:pt idx="405">
                  <c:v>16.388037766517087</c:v>
                </c:pt>
                <c:pt idx="406">
                  <c:v>16.75752760214106</c:v>
                </c:pt>
                <c:pt idx="407">
                  <c:v>17.129817869471054</c:v>
                </c:pt>
                <c:pt idx="408">
                  <c:v>17.50482618279964</c:v>
                </c:pt>
                <c:pt idx="409">
                  <c:v>17.882470156348077</c:v>
                </c:pt>
                <c:pt idx="410">
                  <c:v>18.262667436211462</c:v>
                </c:pt>
                <c:pt idx="411">
                  <c:v>18.645335731938726</c:v>
                </c:pt>
                <c:pt idx="412">
                  <c:v>19.03039284772893</c:v>
                </c:pt>
                <c:pt idx="413">
                  <c:v>19.41775671322543</c:v>
                </c:pt>
                <c:pt idx="414">
                  <c:v>19.807345413890513</c:v>
                </c:pt>
                <c:pt idx="415">
                  <c:v>20.199077220944115</c:v>
                </c:pt>
                <c:pt idx="416">
                  <c:v>20.592870620850295</c:v>
                </c:pt>
                <c:pt idx="417">
                  <c:v>20.988644344336393</c:v>
                </c:pt>
                <c:pt idx="418">
                  <c:v>21.386317394930479</c:v>
                </c:pt>
                <c:pt idx="419">
                  <c:v>21.785809077003265</c:v>
                </c:pt>
                <c:pt idx="420">
                  <c:v>22.187039023301161</c:v>
                </c:pt>
                <c:pt idx="421">
                  <c:v>22.589927221958579</c:v>
                </c:pt>
                <c:pt idx="422">
                  <c:v>22.994394042977458</c:v>
                </c:pt>
                <c:pt idx="423">
                  <c:v>23.400360264163279</c:v>
                </c:pt>
                <c:pt idx="424">
                  <c:v>23.807747096507228</c:v>
                </c:pt>
                <c:pt idx="425">
                  <c:v>24.216476209005023</c:v>
                </c:pt>
                <c:pt idx="426">
                  <c:v>24.626469752903471</c:v>
                </c:pt>
                <c:pt idx="427">
                  <c:v>25.037650385366728</c:v>
                </c:pt>
                <c:pt idx="428">
                  <c:v>25.449941292554442</c:v>
                </c:pt>
                <c:pt idx="429">
                  <c:v>25.863266212105284</c:v>
                </c:pt>
                <c:pt idx="430">
                  <c:v>26.277549455019521</c:v>
                </c:pt>
                <c:pt idx="431">
                  <c:v>26.692715926934934</c:v>
                </c:pt>
                <c:pt idx="432">
                  <c:v>27.108691148791557</c:v>
                </c:pt>
                <c:pt idx="433">
                  <c:v>27.525401276880608</c:v>
                </c:pt>
                <c:pt idx="434">
                  <c:v>27.942773122274129</c:v>
                </c:pt>
                <c:pt idx="435">
                  <c:v>28.360734169632359</c:v>
                </c:pt>
                <c:pt idx="436">
                  <c:v>28.779212595386255</c:v>
                </c:pt>
                <c:pt idx="437">
                  <c:v>29.198137285293459</c:v>
                </c:pt>
                <c:pt idx="438">
                  <c:v>29.617437851366297</c:v>
                </c:pt>
                <c:pt idx="439">
                  <c:v>30.037044648171303</c:v>
                </c:pt>
                <c:pt idx="440">
                  <c:v>30.456888788499985</c:v>
                </c:pt>
                <c:pt idx="441">
                  <c:v>30.876902158411255</c:v>
                </c:pt>
                <c:pt idx="442">
                  <c:v>31.29701743164647</c:v>
                </c:pt>
                <c:pt idx="443">
                  <c:v>31.717168083418532</c:v>
                </c:pt>
                <c:pt idx="444">
                  <c:v>32.137288403577067</c:v>
                </c:pt>
                <c:pt idx="445">
                  <c:v>32.557313509152003</c:v>
                </c:pt>
                <c:pt idx="446">
                  <c:v>32.977179356278469</c:v>
                </c:pt>
                <c:pt idx="447">
                  <c:v>33.396822751506569</c:v>
                </c:pt>
                <c:pt idx="448">
                  <c:v>33.816181362499584</c:v>
                </c:pt>
                <c:pt idx="449">
                  <c:v>34.235193728125175</c:v>
                </c:pt>
                <c:pt idx="450">
                  <c:v>34.653799267943938</c:v>
                </c:pt>
                <c:pt idx="451">
                  <c:v>35.071938291100857</c:v>
                </c:pt>
                <c:pt idx="452">
                  <c:v>35.489552004624308</c:v>
                </c:pt>
                <c:pt idx="453">
                  <c:v>35.906582521139647</c:v>
                </c:pt>
                <c:pt idx="454">
                  <c:v>36.322972866002424</c:v>
                </c:pt>
                <c:pt idx="455">
                  <c:v>36.738666983858586</c:v>
                </c:pt>
                <c:pt idx="456">
                  <c:v>37.153609744638104</c:v>
                </c:pt>
                <c:pt idx="457">
                  <c:v>37.567746948989473</c:v>
                </c:pt>
                <c:pt idx="458">
                  <c:v>37.98102533316252</c:v>
                </c:pt>
                <c:pt idx="459">
                  <c:v>38.393392573347136</c:v>
                </c:pt>
                <c:pt idx="460">
                  <c:v>38.80479728947634</c:v>
                </c:pt>
                <c:pt idx="461">
                  <c:v>39.2151890485016</c:v>
                </c:pt>
                <c:pt idx="462">
                  <c:v>39.624518367149328</c:v>
                </c:pt>
                <c:pt idx="463">
                  <c:v>40.03273671416693</c:v>
                </c:pt>
                <c:pt idx="464">
                  <c:v>40.439796512067893</c:v>
                </c:pt>
                <c:pt idx="465">
                  <c:v>40.84565113838454</c:v>
                </c:pt>
                <c:pt idx="466">
                  <c:v>41.250254926438494</c:v>
                </c:pt>
                <c:pt idx="467">
                  <c:v>41.653563165637593</c:v>
                </c:pt>
                <c:pt idx="468">
                  <c:v>42.055532101309709</c:v>
                </c:pt>
                <c:pt idx="469">
                  <c:v>42.456118934082937</c:v>
                </c:pt>
                <c:pt idx="470">
                  <c:v>42.855281818822014</c:v>
                </c:pt>
                <c:pt idx="471">
                  <c:v>43.252979863131486</c:v>
                </c:pt>
                <c:pt idx="472">
                  <c:v>43.649173125435354</c:v>
                </c:pt>
                <c:pt idx="473">
                  <c:v>44.043822612643744</c:v>
                </c:pt>
                <c:pt idx="474">
                  <c:v>44.436890277417035</c:v>
                </c:pt>
                <c:pt idx="475">
                  <c:v>44.828339015037493</c:v>
                </c:pt>
                <c:pt idx="476">
                  <c:v>45.218132659899432</c:v>
                </c:pt>
                <c:pt idx="477">
                  <c:v>45.606235981627911</c:v>
                </c:pt>
                <c:pt idx="478">
                  <c:v>45.992614680836816</c:v>
                </c:pt>
                <c:pt idx="479">
                  <c:v>46.377235384537066</c:v>
                </c:pt>
                <c:pt idx="480">
                  <c:v>46.760065641204868</c:v>
                </c:pt>
                <c:pt idx="481">
                  <c:v>47.141073915521559</c:v>
                </c:pt>
                <c:pt idx="482">
                  <c:v>47.520229582794578</c:v>
                </c:pt>
                <c:pt idx="483">
                  <c:v>47.897502923071237</c:v>
                </c:pt>
                <c:pt idx="484">
                  <c:v>48.272865114954705</c:v>
                </c:pt>
                <c:pt idx="485">
                  <c:v>48.646288229133468</c:v>
                </c:pt>
                <c:pt idx="486">
                  <c:v>49.017745221634641</c:v>
                </c:pt>
                <c:pt idx="487">
                  <c:v>49.387209926810861</c:v>
                </c:pt>
                <c:pt idx="488">
                  <c:v>49.754657050072048</c:v>
                </c:pt>
                <c:pt idx="489">
                  <c:v>50.120062160371546</c:v>
                </c:pt>
                <c:pt idx="490">
                  <c:v>50.483401682457007</c:v>
                </c:pt>
                <c:pt idx="491">
                  <c:v>50.844652888896547</c:v>
                </c:pt>
                <c:pt idx="492">
                  <c:v>51.20379389188917</c:v>
                </c:pt>
                <c:pt idx="493">
                  <c:v>51.560803634870588</c:v>
                </c:pt>
                <c:pt idx="494">
                  <c:v>51.915661883923072</c:v>
                </c:pt>
                <c:pt idx="495">
                  <c:v>52.268349218999965</c:v>
                </c:pt>
                <c:pt idx="496">
                  <c:v>52.61884702497364</c:v>
                </c:pt>
                <c:pt idx="497">
                  <c:v>52.967137482516804</c:v>
                </c:pt>
                <c:pt idx="498">
                  <c:v>53.31320355882643</c:v>
                </c:pt>
                <c:pt idx="499">
                  <c:v>53.657028998199216</c:v>
                </c:pt>
                <c:pt idx="500">
                  <c:v>53.99859831246772</c:v>
                </c:pt>
                <c:pt idx="501">
                  <c:v>54.337896771306269</c:v>
                </c:pt>
                <c:pt idx="502">
                  <c:v>54.674910392415242</c:v>
                </c:pt>
                <c:pt idx="503">
                  <c:v>55.009625931592183</c:v>
                </c:pt>
                <c:pt idx="504">
                  <c:v>55.342030872698267</c:v>
                </c:pt>
                <c:pt idx="505">
                  <c:v>55.672113417528728</c:v>
                </c:pt>
                <c:pt idx="506">
                  <c:v>55.999862475594895</c:v>
                </c:pt>
                <c:pt idx="507">
                  <c:v>56.325267653826046</c:v>
                </c:pt>
                <c:pt idx="508">
                  <c:v>56.648319246199186</c:v>
                </c:pt>
                <c:pt idx="509">
                  <c:v>56.969008223303504</c:v>
                </c:pt>
                <c:pt idx="510">
                  <c:v>57.287326221848183</c:v>
                </c:pt>
                <c:pt idx="511">
                  <c:v>57.603265534119942</c:v>
                </c:pt>
                <c:pt idx="512">
                  <c:v>57.916819097397898</c:v>
                </c:pt>
                <c:pt idx="513">
                  <c:v>58.22798048333258</c:v>
                </c:pt>
                <c:pt idx="514">
                  <c:v>58.536743887295934</c:v>
                </c:pt>
                <c:pt idx="515">
                  <c:v>58.84310411770899</c:v>
                </c:pt>
                <c:pt idx="516">
                  <c:v>59.14705658535356</c:v>
                </c:pt>
                <c:pt idx="517">
                  <c:v>59.147357473973877</c:v>
                </c:pt>
                <c:pt idx="518">
                  <c:v>59.147658360206847</c:v>
                </c:pt>
                <c:pt idx="519">
                  <c:v>59.147959244052487</c:v>
                </c:pt>
                <c:pt idx="520">
                  <c:v>59.14826012551076</c:v>
                </c:pt>
                <c:pt idx="521">
                  <c:v>59.148561004581715</c:v>
                </c:pt>
                <c:pt idx="522">
                  <c:v>59.148861881265354</c:v>
                </c:pt>
                <c:pt idx="523">
                  <c:v>59.149162755561584</c:v>
                </c:pt>
                <c:pt idx="524">
                  <c:v>59.149463627470482</c:v>
                </c:pt>
                <c:pt idx="525">
                  <c:v>59.149764496992049</c:v>
                </c:pt>
                <c:pt idx="526">
                  <c:v>59.150065364126235</c:v>
                </c:pt>
                <c:pt idx="527">
                  <c:v>59.150366228873047</c:v>
                </c:pt>
                <c:pt idx="528">
                  <c:v>59.150667091232521</c:v>
                </c:pt>
                <c:pt idx="529">
                  <c:v>59.150967951204592</c:v>
                </c:pt>
                <c:pt idx="530">
                  <c:v>59.151268808789311</c:v>
                </c:pt>
                <c:pt idx="531">
                  <c:v>59.151569663986663</c:v>
                </c:pt>
                <c:pt idx="532">
                  <c:v>59.15187051679662</c:v>
                </c:pt>
                <c:pt idx="533">
                  <c:v>59.152171367219204</c:v>
                </c:pt>
                <c:pt idx="534">
                  <c:v>59.152472215254384</c:v>
                </c:pt>
                <c:pt idx="535">
                  <c:v>59.152773060902199</c:v>
                </c:pt>
                <c:pt idx="536">
                  <c:v>59.153073904162575</c:v>
                </c:pt>
                <c:pt idx="537">
                  <c:v>59.153374745035592</c:v>
                </c:pt>
                <c:pt idx="538">
                  <c:v>59.153675583521199</c:v>
                </c:pt>
                <c:pt idx="539">
                  <c:v>59.15397641961939</c:v>
                </c:pt>
                <c:pt idx="540">
                  <c:v>59.154277253330157</c:v>
                </c:pt>
                <c:pt idx="541">
                  <c:v>59.154578084653551</c:v>
                </c:pt>
                <c:pt idx="542">
                  <c:v>59.154878913589499</c:v>
                </c:pt>
                <c:pt idx="543">
                  <c:v>59.155179740138045</c:v>
                </c:pt>
                <c:pt idx="544">
                  <c:v>59.155480564299154</c:v>
                </c:pt>
                <c:pt idx="545">
                  <c:v>59.155781386072874</c:v>
                </c:pt>
                <c:pt idx="546">
                  <c:v>59.156082205459128</c:v>
                </c:pt>
                <c:pt idx="547">
                  <c:v>59.156383022457938</c:v>
                </c:pt>
                <c:pt idx="548">
                  <c:v>59.156683837069352</c:v>
                </c:pt>
                <c:pt idx="549">
                  <c:v>59.156984649293285</c:v>
                </c:pt>
                <c:pt idx="550">
                  <c:v>59.15728545912981</c:v>
                </c:pt>
                <c:pt idx="551">
                  <c:v>59.157586266578889</c:v>
                </c:pt>
                <c:pt idx="552">
                  <c:v>59.157887071640502</c:v>
                </c:pt>
                <c:pt idx="553">
                  <c:v>59.158187874314656</c:v>
                </c:pt>
                <c:pt idx="554">
                  <c:v>59.158488674601394</c:v>
                </c:pt>
                <c:pt idx="555">
                  <c:v>59.158789472500601</c:v>
                </c:pt>
                <c:pt idx="556">
                  <c:v>59.159090268012406</c:v>
                </c:pt>
                <c:pt idx="557">
                  <c:v>59.159391061136709</c:v>
                </c:pt>
                <c:pt idx="558">
                  <c:v>59.159691851873532</c:v>
                </c:pt>
                <c:pt idx="559">
                  <c:v>59.159992640222896</c:v>
                </c:pt>
                <c:pt idx="560">
                  <c:v>59.160293426184772</c:v>
                </c:pt>
                <c:pt idx="561">
                  <c:v>59.160594209759203</c:v>
                </c:pt>
                <c:pt idx="562">
                  <c:v>59.160894990946119</c:v>
                </c:pt>
                <c:pt idx="563">
                  <c:v>59.161195769745568</c:v>
                </c:pt>
                <c:pt idx="564">
                  <c:v>59.161496546157508</c:v>
                </c:pt>
                <c:pt idx="565">
                  <c:v>59.161797320181947</c:v>
                </c:pt>
                <c:pt idx="566">
                  <c:v>59.162098091818891</c:v>
                </c:pt>
                <c:pt idx="567">
                  <c:v>59.162398861068326</c:v>
                </c:pt>
                <c:pt idx="568">
                  <c:v>59.16269962793028</c:v>
                </c:pt>
                <c:pt idx="569">
                  <c:v>59.163000392404726</c:v>
                </c:pt>
                <c:pt idx="570">
                  <c:v>59.163301154491649</c:v>
                </c:pt>
                <c:pt idx="571">
                  <c:v>59.163601914191041</c:v>
                </c:pt>
                <c:pt idx="572">
                  <c:v>59.163902671502946</c:v>
                </c:pt>
                <c:pt idx="573">
                  <c:v>59.164203426427292</c:v>
                </c:pt>
                <c:pt idx="574">
                  <c:v>59.164504178964108</c:v>
                </c:pt>
                <c:pt idx="575">
                  <c:v>59.16480492911343</c:v>
                </c:pt>
                <c:pt idx="576">
                  <c:v>59.165105676875228</c:v>
                </c:pt>
                <c:pt idx="577">
                  <c:v>59.165406422249454</c:v>
                </c:pt>
                <c:pt idx="578">
                  <c:v>59.165707165236135</c:v>
                </c:pt>
                <c:pt idx="579">
                  <c:v>59.166007905835286</c:v>
                </c:pt>
                <c:pt idx="580">
                  <c:v>59.166308644046914</c:v>
                </c:pt>
                <c:pt idx="581">
                  <c:v>59.166609379870977</c:v>
                </c:pt>
                <c:pt idx="582">
                  <c:v>59.166910113307452</c:v>
                </c:pt>
                <c:pt idx="583">
                  <c:v>59.167210844356411</c:v>
                </c:pt>
                <c:pt idx="584">
                  <c:v>59.167511573017798</c:v>
                </c:pt>
                <c:pt idx="585">
                  <c:v>59.167812299291619</c:v>
                </c:pt>
                <c:pt idx="586">
                  <c:v>59.168113023177881</c:v>
                </c:pt>
                <c:pt idx="587">
                  <c:v>59.168413744676556</c:v>
                </c:pt>
                <c:pt idx="588">
                  <c:v>59.168714463787673</c:v>
                </c:pt>
                <c:pt idx="589">
                  <c:v>59.169015180511195</c:v>
                </c:pt>
                <c:pt idx="590">
                  <c:v>59.169315894847152</c:v>
                </c:pt>
                <c:pt idx="591">
                  <c:v>59.169616606795515</c:v>
                </c:pt>
                <c:pt idx="592">
                  <c:v>59.169917316356269</c:v>
                </c:pt>
                <c:pt idx="593">
                  <c:v>59.170218023529458</c:v>
                </c:pt>
                <c:pt idx="594">
                  <c:v>59.170518728315031</c:v>
                </c:pt>
                <c:pt idx="595">
                  <c:v>59.170819430713038</c:v>
                </c:pt>
                <c:pt idx="596">
                  <c:v>59.171120130723402</c:v>
                </c:pt>
                <c:pt idx="597">
                  <c:v>59.171420828346207</c:v>
                </c:pt>
                <c:pt idx="598">
                  <c:v>59.171721523581368</c:v>
                </c:pt>
                <c:pt idx="599">
                  <c:v>59.172022216428928</c:v>
                </c:pt>
                <c:pt idx="600">
                  <c:v>59.172322906888873</c:v>
                </c:pt>
                <c:pt idx="601">
                  <c:v>59.172623594961173</c:v>
                </c:pt>
                <c:pt idx="602">
                  <c:v>59.17292428064588</c:v>
                </c:pt>
                <c:pt idx="603">
                  <c:v>59.173224963942928</c:v>
                </c:pt>
                <c:pt idx="604">
                  <c:v>59.173525644852376</c:v>
                </c:pt>
                <c:pt idx="605">
                  <c:v>59.173826323374193</c:v>
                </c:pt>
                <c:pt idx="606">
                  <c:v>59.174126999508339</c:v>
                </c:pt>
                <c:pt idx="607">
                  <c:v>59.174427673254868</c:v>
                </c:pt>
                <c:pt idx="608">
                  <c:v>59.174728344613769</c:v>
                </c:pt>
                <c:pt idx="609">
                  <c:v>59.175029013585018</c:v>
                </c:pt>
                <c:pt idx="610">
                  <c:v>59.175329680168595</c:v>
                </c:pt>
                <c:pt idx="611">
                  <c:v>59.175630344364542</c:v>
                </c:pt>
                <c:pt idx="612">
                  <c:v>59.175931006172817</c:v>
                </c:pt>
                <c:pt idx="613">
                  <c:v>59.176231665593448</c:v>
                </c:pt>
                <c:pt idx="614">
                  <c:v>59.176532322626386</c:v>
                </c:pt>
                <c:pt idx="615">
                  <c:v>59.176832977271658</c:v>
                </c:pt>
                <c:pt idx="616">
                  <c:v>59.177133629529287</c:v>
                </c:pt>
                <c:pt idx="617">
                  <c:v>59.177434279399236</c:v>
                </c:pt>
                <c:pt idx="618">
                  <c:v>59.177734926881477</c:v>
                </c:pt>
                <c:pt idx="619">
                  <c:v>59.178035571976046</c:v>
                </c:pt>
                <c:pt idx="620">
                  <c:v>59.178336214682929</c:v>
                </c:pt>
                <c:pt idx="621">
                  <c:v>59.178636855002161</c:v>
                </c:pt>
                <c:pt idx="622">
                  <c:v>59.178937492933677</c:v>
                </c:pt>
                <c:pt idx="623">
                  <c:v>59.179238128477479</c:v>
                </c:pt>
                <c:pt idx="624">
                  <c:v>59.179538761633616</c:v>
                </c:pt>
                <c:pt idx="625">
                  <c:v>59.179839392402016</c:v>
                </c:pt>
                <c:pt idx="626">
                  <c:v>59.180140020782737</c:v>
                </c:pt>
                <c:pt idx="627">
                  <c:v>59.180440646775729</c:v>
                </c:pt>
                <c:pt idx="628">
                  <c:v>59.180741270381034</c:v>
                </c:pt>
                <c:pt idx="629">
                  <c:v>59.181041891598625</c:v>
                </c:pt>
                <c:pt idx="630">
                  <c:v>59.181342510428465</c:v>
                </c:pt>
                <c:pt idx="631">
                  <c:v>59.181643126870604</c:v>
                </c:pt>
                <c:pt idx="632">
                  <c:v>59.181943740924986</c:v>
                </c:pt>
                <c:pt idx="633">
                  <c:v>59.182244352591695</c:v>
                </c:pt>
                <c:pt idx="634">
                  <c:v>59.18254496187064</c:v>
                </c:pt>
                <c:pt idx="635">
                  <c:v>59.182845568761856</c:v>
                </c:pt>
                <c:pt idx="636">
                  <c:v>59.183146173265335</c:v>
                </c:pt>
                <c:pt idx="637">
                  <c:v>59.183446775381057</c:v>
                </c:pt>
                <c:pt idx="638">
                  <c:v>59.183747375109036</c:v>
                </c:pt>
                <c:pt idx="639">
                  <c:v>59.184047972449257</c:v>
                </c:pt>
                <c:pt idx="640">
                  <c:v>59.184348567401749</c:v>
                </c:pt>
                <c:pt idx="641">
                  <c:v>59.184649159966462</c:v>
                </c:pt>
                <c:pt idx="642">
                  <c:v>59.184949750143431</c:v>
                </c:pt>
                <c:pt idx="643">
                  <c:v>59.185250337932636</c:v>
                </c:pt>
                <c:pt idx="644">
                  <c:v>59.185550923334041</c:v>
                </c:pt>
                <c:pt idx="645">
                  <c:v>59.185851506347703</c:v>
                </c:pt>
                <c:pt idx="646">
                  <c:v>59.186152086973578</c:v>
                </c:pt>
                <c:pt idx="647">
                  <c:v>59.186452665211689</c:v>
                </c:pt>
                <c:pt idx="648">
                  <c:v>59.186753241062021</c:v>
                </c:pt>
                <c:pt idx="649">
                  <c:v>59.187053814524575</c:v>
                </c:pt>
                <c:pt idx="650">
                  <c:v>59.187354385599342</c:v>
                </c:pt>
                <c:pt idx="651">
                  <c:v>59.187654954286316</c:v>
                </c:pt>
                <c:pt idx="652">
                  <c:v>59.187955520585461</c:v>
                </c:pt>
                <c:pt idx="653">
                  <c:v>59.188256084496842</c:v>
                </c:pt>
                <c:pt idx="654">
                  <c:v>59.188556646020402</c:v>
                </c:pt>
                <c:pt idx="655">
                  <c:v>59.188857205156175</c:v>
                </c:pt>
                <c:pt idx="656">
                  <c:v>59.189157761904141</c:v>
                </c:pt>
                <c:pt idx="657">
                  <c:v>59.189458316264293</c:v>
                </c:pt>
                <c:pt idx="658">
                  <c:v>59.189758868236623</c:v>
                </c:pt>
                <c:pt idx="659">
                  <c:v>59.190059417821139</c:v>
                </c:pt>
                <c:pt idx="660">
                  <c:v>59.190359965017826</c:v>
                </c:pt>
                <c:pt idx="661">
                  <c:v>59.190660509826714</c:v>
                </c:pt>
                <c:pt idx="662">
                  <c:v>59.190961052247758</c:v>
                </c:pt>
                <c:pt idx="663">
                  <c:v>59.191261592280959</c:v>
                </c:pt>
                <c:pt idx="664">
                  <c:v>59.191562129926318</c:v>
                </c:pt>
                <c:pt idx="665">
                  <c:v>59.191862665183876</c:v>
                </c:pt>
                <c:pt idx="666">
                  <c:v>59.192163198053571</c:v>
                </c:pt>
                <c:pt idx="667">
                  <c:v>59.192463728535401</c:v>
                </c:pt>
                <c:pt idx="668">
                  <c:v>59.192764256629403</c:v>
                </c:pt>
                <c:pt idx="669">
                  <c:v>59.193064782335533</c:v>
                </c:pt>
                <c:pt idx="670">
                  <c:v>59.19336530565382</c:v>
                </c:pt>
                <c:pt idx="671">
                  <c:v>59.193665826584244</c:v>
                </c:pt>
                <c:pt idx="672">
                  <c:v>59.193966345126817</c:v>
                </c:pt>
                <c:pt idx="673">
                  <c:v>59.194266861281491</c:v>
                </c:pt>
                <c:pt idx="674">
                  <c:v>59.194567375048344</c:v>
                </c:pt>
                <c:pt idx="675">
                  <c:v>59.194867886427289</c:v>
                </c:pt>
                <c:pt idx="676">
                  <c:v>59.195168395418357</c:v>
                </c:pt>
                <c:pt idx="677">
                  <c:v>59.195468902021588</c:v>
                </c:pt>
                <c:pt idx="678">
                  <c:v>59.195769406236892</c:v>
                </c:pt>
                <c:pt idx="679">
                  <c:v>59.196069908064317</c:v>
                </c:pt>
                <c:pt idx="680">
                  <c:v>59.196370407503863</c:v>
                </c:pt>
                <c:pt idx="681">
                  <c:v>59.196670904555525</c:v>
                </c:pt>
                <c:pt idx="682">
                  <c:v>59.196971399219287</c:v>
                </c:pt>
                <c:pt idx="683">
                  <c:v>59.197271891495134</c:v>
                </c:pt>
                <c:pt idx="684">
                  <c:v>59.197572381383083</c:v>
                </c:pt>
                <c:pt idx="685">
                  <c:v>59.197872868883131</c:v>
                </c:pt>
                <c:pt idx="686">
                  <c:v>59.198173353995251</c:v>
                </c:pt>
                <c:pt idx="687">
                  <c:v>59.198473836719472</c:v>
                </c:pt>
                <c:pt idx="688">
                  <c:v>59.198774317055758</c:v>
                </c:pt>
                <c:pt idx="689">
                  <c:v>59.199074795004123</c:v>
                </c:pt>
                <c:pt idx="690">
                  <c:v>59.199375270564587</c:v>
                </c:pt>
                <c:pt idx="691">
                  <c:v>59.199675743737131</c:v>
                </c:pt>
                <c:pt idx="692">
                  <c:v>59.199976214521705</c:v>
                </c:pt>
                <c:pt idx="693">
                  <c:v>59.200276682918393</c:v>
                </c:pt>
                <c:pt idx="694">
                  <c:v>59.200577148927103</c:v>
                </c:pt>
                <c:pt idx="695">
                  <c:v>59.200877612547899</c:v>
                </c:pt>
                <c:pt idx="696">
                  <c:v>59.201178073780738</c:v>
                </c:pt>
                <c:pt idx="697">
                  <c:v>59.201478532625615</c:v>
                </c:pt>
                <c:pt idx="698">
                  <c:v>59.20177898908257</c:v>
                </c:pt>
                <c:pt idx="699">
                  <c:v>59.202079443151561</c:v>
                </c:pt>
                <c:pt idx="700">
                  <c:v>59.202379894832582</c:v>
                </c:pt>
                <c:pt idx="701">
                  <c:v>59.202680344125639</c:v>
                </c:pt>
                <c:pt idx="702">
                  <c:v>59.202980791030768</c:v>
                </c:pt>
                <c:pt idx="703">
                  <c:v>59.203281235547912</c:v>
                </c:pt>
                <c:pt idx="704">
                  <c:v>59.203581677677079</c:v>
                </c:pt>
                <c:pt idx="705">
                  <c:v>59.203882117418289</c:v>
                </c:pt>
                <c:pt idx="706">
                  <c:v>59.204182554771478</c:v>
                </c:pt>
                <c:pt idx="707">
                  <c:v>59.204482989736718</c:v>
                </c:pt>
                <c:pt idx="708">
                  <c:v>59.204783422313973</c:v>
                </c:pt>
                <c:pt idx="709">
                  <c:v>59.205083852503222</c:v>
                </c:pt>
                <c:pt idx="710">
                  <c:v>59.205384280304514</c:v>
                </c:pt>
                <c:pt idx="711">
                  <c:v>59.205684705717779</c:v>
                </c:pt>
                <c:pt idx="712">
                  <c:v>59.205985128743059</c:v>
                </c:pt>
                <c:pt idx="713">
                  <c:v>59.206285549380304</c:v>
                </c:pt>
                <c:pt idx="714">
                  <c:v>59.206585967629579</c:v>
                </c:pt>
                <c:pt idx="715">
                  <c:v>59.20688638349084</c:v>
                </c:pt>
                <c:pt idx="716">
                  <c:v>59.207186796964095</c:v>
                </c:pt>
                <c:pt idx="717">
                  <c:v>59.207487208049344</c:v>
                </c:pt>
                <c:pt idx="718">
                  <c:v>59.207787616746558</c:v>
                </c:pt>
                <c:pt idx="719">
                  <c:v>59.208088023055744</c:v>
                </c:pt>
                <c:pt idx="720">
                  <c:v>59.208388426976896</c:v>
                </c:pt>
                <c:pt idx="721">
                  <c:v>59.208688828510063</c:v>
                </c:pt>
                <c:pt idx="722">
                  <c:v>59.208989227655145</c:v>
                </c:pt>
                <c:pt idx="723">
                  <c:v>59.209289624412214</c:v>
                </c:pt>
                <c:pt idx="724">
                  <c:v>59.209590018781263</c:v>
                </c:pt>
                <c:pt idx="725">
                  <c:v>59.209890410762227</c:v>
                </c:pt>
                <c:pt idx="726">
                  <c:v>59.210190800355178</c:v>
                </c:pt>
                <c:pt idx="727">
                  <c:v>59.210491187560095</c:v>
                </c:pt>
                <c:pt idx="728">
                  <c:v>59.21079157237692</c:v>
                </c:pt>
                <c:pt idx="729">
                  <c:v>59.211091954805724</c:v>
                </c:pt>
                <c:pt idx="730">
                  <c:v>59.211392334846437</c:v>
                </c:pt>
                <c:pt idx="731">
                  <c:v>59.211692712499108</c:v>
                </c:pt>
                <c:pt idx="732">
                  <c:v>59.211993087763688</c:v>
                </c:pt>
                <c:pt idx="733">
                  <c:v>59.212293460640225</c:v>
                </c:pt>
                <c:pt idx="734">
                  <c:v>59.212593831128707</c:v>
                </c:pt>
                <c:pt idx="735">
                  <c:v>59.212894199229083</c:v>
                </c:pt>
                <c:pt idx="736">
                  <c:v>59.213194564941375</c:v>
                </c:pt>
                <c:pt idx="737">
                  <c:v>59.213494928265611</c:v>
                </c:pt>
                <c:pt idx="738">
                  <c:v>59.21379528920172</c:v>
                </c:pt>
                <c:pt idx="739">
                  <c:v>59.21409564774978</c:v>
                </c:pt>
                <c:pt idx="740">
                  <c:v>59.214396003909734</c:v>
                </c:pt>
                <c:pt idx="741">
                  <c:v>59.214696357681611</c:v>
                </c:pt>
                <c:pt idx="742">
                  <c:v>59.214996709065353</c:v>
                </c:pt>
                <c:pt idx="743">
                  <c:v>59.215297058061005</c:v>
                </c:pt>
                <c:pt idx="744">
                  <c:v>59.215597404668571</c:v>
                </c:pt>
                <c:pt idx="745">
                  <c:v>59.215897748887997</c:v>
                </c:pt>
                <c:pt idx="746">
                  <c:v>59.216198090719324</c:v>
                </c:pt>
                <c:pt idx="747">
                  <c:v>59.216498430162538</c:v>
                </c:pt>
                <c:pt idx="748">
                  <c:v>59.216798767217611</c:v>
                </c:pt>
                <c:pt idx="749">
                  <c:v>59.217099101884592</c:v>
                </c:pt>
                <c:pt idx="750">
                  <c:v>59.217399434163454</c:v>
                </c:pt>
                <c:pt idx="751">
                  <c:v>59.217699764054146</c:v>
                </c:pt>
                <c:pt idx="752">
                  <c:v>59.218000091556725</c:v>
                </c:pt>
                <c:pt idx="753">
                  <c:v>59.218300416671134</c:v>
                </c:pt>
                <c:pt idx="754">
                  <c:v>59.218600739397452</c:v>
                </c:pt>
                <c:pt idx="755">
                  <c:v>59.218901059735614</c:v>
                </c:pt>
                <c:pt idx="756">
                  <c:v>59.219201377685621</c:v>
                </c:pt>
                <c:pt idx="757">
                  <c:v>59.219501693247487</c:v>
                </c:pt>
                <c:pt idx="758">
                  <c:v>59.219802006421183</c:v>
                </c:pt>
                <c:pt idx="759">
                  <c:v>59.220102317206731</c:v>
                </c:pt>
                <c:pt idx="760">
                  <c:v>59.220402625604102</c:v>
                </c:pt>
                <c:pt idx="761">
                  <c:v>59.22070293161336</c:v>
                </c:pt>
                <c:pt idx="762">
                  <c:v>59.221003235234406</c:v>
                </c:pt>
                <c:pt idx="763">
                  <c:v>59.221303536467303</c:v>
                </c:pt>
                <c:pt idx="764">
                  <c:v>59.221603835312038</c:v>
                </c:pt>
                <c:pt idx="765">
                  <c:v>59.221904131768575</c:v>
                </c:pt>
                <c:pt idx="766">
                  <c:v>59.222204425836928</c:v>
                </c:pt>
                <c:pt idx="767">
                  <c:v>59.222504717517076</c:v>
                </c:pt>
                <c:pt idx="768">
                  <c:v>59.222805006809097</c:v>
                </c:pt>
                <c:pt idx="769">
                  <c:v>59.223105293712869</c:v>
                </c:pt>
                <c:pt idx="770">
                  <c:v>59.223405578228508</c:v>
                </c:pt>
                <c:pt idx="771">
                  <c:v>59.223705860355906</c:v>
                </c:pt>
                <c:pt idx="772">
                  <c:v>59.224006140095121</c:v>
                </c:pt>
                <c:pt idx="773">
                  <c:v>59.22430641744613</c:v>
                </c:pt>
                <c:pt idx="774">
                  <c:v>59.22460669240894</c:v>
                </c:pt>
                <c:pt idx="775">
                  <c:v>59.224906964983539</c:v>
                </c:pt>
                <c:pt idx="776">
                  <c:v>59.225207235169911</c:v>
                </c:pt>
                <c:pt idx="777">
                  <c:v>59.225507502968064</c:v>
                </c:pt>
                <c:pt idx="778">
                  <c:v>59.225807768378012</c:v>
                </c:pt>
                <c:pt idx="779">
                  <c:v>59.226108031399718</c:v>
                </c:pt>
                <c:pt idx="780">
                  <c:v>59.226408292033213</c:v>
                </c:pt>
                <c:pt idx="781">
                  <c:v>59.226708550278474</c:v>
                </c:pt>
                <c:pt idx="782">
                  <c:v>59.227008806135522</c:v>
                </c:pt>
                <c:pt idx="783">
                  <c:v>59.227309059604316</c:v>
                </c:pt>
                <c:pt idx="784">
                  <c:v>59.227609310684848</c:v>
                </c:pt>
                <c:pt idx="785">
                  <c:v>59.227909559377167</c:v>
                </c:pt>
                <c:pt idx="786">
                  <c:v>59.228209805681203</c:v>
                </c:pt>
                <c:pt idx="787">
                  <c:v>59.228510049597013</c:v>
                </c:pt>
                <c:pt idx="788">
                  <c:v>59.228810291124582</c:v>
                </c:pt>
                <c:pt idx="789">
                  <c:v>59.229110530263874</c:v>
                </c:pt>
                <c:pt idx="790">
                  <c:v>59.229410767014912</c:v>
                </c:pt>
                <c:pt idx="791">
                  <c:v>59.229711001377673</c:v>
                </c:pt>
                <c:pt idx="792">
                  <c:v>59.230011233352194</c:v>
                </c:pt>
                <c:pt idx="793">
                  <c:v>59.23031146293841</c:v>
                </c:pt>
                <c:pt idx="794">
                  <c:v>59.230611690136364</c:v>
                </c:pt>
                <c:pt idx="795">
                  <c:v>59.230911914946049</c:v>
                </c:pt>
                <c:pt idx="796">
                  <c:v>59.231212137367471</c:v>
                </c:pt>
                <c:pt idx="797">
                  <c:v>59.231512357400597</c:v>
                </c:pt>
                <c:pt idx="798">
                  <c:v>59.231812575045431</c:v>
                </c:pt>
                <c:pt idx="799">
                  <c:v>59.232112790301983</c:v>
                </c:pt>
                <c:pt idx="800">
                  <c:v>59.23241300317023</c:v>
                </c:pt>
                <c:pt idx="801">
                  <c:v>59.232713213650186</c:v>
                </c:pt>
                <c:pt idx="802">
                  <c:v>59.233013421741845</c:v>
                </c:pt>
                <c:pt idx="803">
                  <c:v>59.233313627445163</c:v>
                </c:pt>
                <c:pt idx="804">
                  <c:v>59.233613830760234</c:v>
                </c:pt>
                <c:pt idx="805">
                  <c:v>59.233914031686943</c:v>
                </c:pt>
                <c:pt idx="806">
                  <c:v>59.234214230225362</c:v>
                </c:pt>
                <c:pt idx="807">
                  <c:v>59.234514426375469</c:v>
                </c:pt>
                <c:pt idx="808">
                  <c:v>59.234814620137236</c:v>
                </c:pt>
                <c:pt idx="809">
                  <c:v>59.235114811510691</c:v>
                </c:pt>
                <c:pt idx="810">
                  <c:v>59.235415000495841</c:v>
                </c:pt>
                <c:pt idx="811">
                  <c:v>59.23571518709263</c:v>
                </c:pt>
                <c:pt idx="812">
                  <c:v>59.236015371301121</c:v>
                </c:pt>
                <c:pt idx="813">
                  <c:v>59.23631555312123</c:v>
                </c:pt>
                <c:pt idx="814">
                  <c:v>59.236615732553034</c:v>
                </c:pt>
                <c:pt idx="815">
                  <c:v>59.236915909596483</c:v>
                </c:pt>
                <c:pt idx="816">
                  <c:v>59.237216084251592</c:v>
                </c:pt>
                <c:pt idx="817">
                  <c:v>59.237516256518333</c:v>
                </c:pt>
                <c:pt idx="818">
                  <c:v>59.237816426396726</c:v>
                </c:pt>
                <c:pt idx="819">
                  <c:v>59.238116593886801</c:v>
                </c:pt>
                <c:pt idx="820">
                  <c:v>59.23841675898845</c:v>
                </c:pt>
                <c:pt idx="821">
                  <c:v>59.238716921701766</c:v>
                </c:pt>
                <c:pt idx="822">
                  <c:v>59.23901708202672</c:v>
                </c:pt>
                <c:pt idx="823">
                  <c:v>59.239317239963292</c:v>
                </c:pt>
                <c:pt idx="824">
                  <c:v>59.239617395511495</c:v>
                </c:pt>
                <c:pt idx="825">
                  <c:v>59.239917548671329</c:v>
                </c:pt>
                <c:pt idx="826">
                  <c:v>59.240217699442788</c:v>
                </c:pt>
                <c:pt idx="827">
                  <c:v>59.240517847825828</c:v>
                </c:pt>
                <c:pt idx="828">
                  <c:v>59.240817993820507</c:v>
                </c:pt>
                <c:pt idx="829">
                  <c:v>59.241118137426824</c:v>
                </c:pt>
                <c:pt idx="830">
                  <c:v>59.241418278644723</c:v>
                </c:pt>
                <c:pt idx="831">
                  <c:v>59.241718417474225</c:v>
                </c:pt>
                <c:pt idx="832">
                  <c:v>59.242018553915315</c:v>
                </c:pt>
                <c:pt idx="833">
                  <c:v>59.242318687967995</c:v>
                </c:pt>
                <c:pt idx="834">
                  <c:v>59.242618819632291</c:v>
                </c:pt>
                <c:pt idx="835">
                  <c:v>59.242918948908155</c:v>
                </c:pt>
                <c:pt idx="836">
                  <c:v>59.243219075795643</c:v>
                </c:pt>
                <c:pt idx="837">
                  <c:v>59.243519200294656</c:v>
                </c:pt>
                <c:pt idx="838">
                  <c:v>59.243819322405287</c:v>
                </c:pt>
                <c:pt idx="839">
                  <c:v>59.244119442127513</c:v>
                </c:pt>
                <c:pt idx="840">
                  <c:v>59.244419559461285</c:v>
                </c:pt>
                <c:pt idx="841">
                  <c:v>59.244719674406646</c:v>
                </c:pt>
                <c:pt idx="842">
                  <c:v>59.245019786963553</c:v>
                </c:pt>
                <c:pt idx="843">
                  <c:v>59.245319897132035</c:v>
                </c:pt>
                <c:pt idx="844">
                  <c:v>59.245620004912077</c:v>
                </c:pt>
                <c:pt idx="845">
                  <c:v>59.245920110303679</c:v>
                </c:pt>
                <c:pt idx="846">
                  <c:v>59.246220213306799</c:v>
                </c:pt>
                <c:pt idx="847">
                  <c:v>59.246520313921494</c:v>
                </c:pt>
                <c:pt idx="848">
                  <c:v>59.246820412147741</c:v>
                </c:pt>
                <c:pt idx="849">
                  <c:v>59.247120507985542</c:v>
                </c:pt>
                <c:pt idx="850">
                  <c:v>59.247420601434882</c:v>
                </c:pt>
                <c:pt idx="851">
                  <c:v>59.24772069249574</c:v>
                </c:pt>
                <c:pt idx="852">
                  <c:v>59.248020781168165</c:v>
                </c:pt>
                <c:pt idx="853">
                  <c:v>59.248320867452072</c:v>
                </c:pt>
                <c:pt idx="854">
                  <c:v>59.248620951347533</c:v>
                </c:pt>
                <c:pt idx="855">
                  <c:v>59.248921032854533</c:v>
                </c:pt>
                <c:pt idx="856">
                  <c:v>59.249221111973036</c:v>
                </c:pt>
                <c:pt idx="857">
                  <c:v>59.249521188703056</c:v>
                </c:pt>
                <c:pt idx="858">
                  <c:v>59.249821263044609</c:v>
                </c:pt>
                <c:pt idx="859">
                  <c:v>59.250121334997637</c:v>
                </c:pt>
                <c:pt idx="860">
                  <c:v>59.250421404562196</c:v>
                </c:pt>
                <c:pt idx="861">
                  <c:v>59.250721471738267</c:v>
                </c:pt>
                <c:pt idx="862">
                  <c:v>59.251021536525826</c:v>
                </c:pt>
                <c:pt idx="863">
                  <c:v>59.251321598924875</c:v>
                </c:pt>
                <c:pt idx="864">
                  <c:v>59.251621658935413</c:v>
                </c:pt>
                <c:pt idx="865">
                  <c:v>59.251921716557469</c:v>
                </c:pt>
                <c:pt idx="866">
                  <c:v>59.252221771791021</c:v>
                </c:pt>
                <c:pt idx="867">
                  <c:v>59.252521824636027</c:v>
                </c:pt>
                <c:pt idx="868">
                  <c:v>59.252821875092529</c:v>
                </c:pt>
                <c:pt idx="869">
                  <c:v>59.253121923160514</c:v>
                </c:pt>
                <c:pt idx="870">
                  <c:v>59.253421968839952</c:v>
                </c:pt>
                <c:pt idx="871">
                  <c:v>59.253722012130908</c:v>
                </c:pt>
                <c:pt idx="872">
                  <c:v>59.25402205303326</c:v>
                </c:pt>
                <c:pt idx="873">
                  <c:v>59.254322091547103</c:v>
                </c:pt>
                <c:pt idx="874">
                  <c:v>59.254622127672413</c:v>
                </c:pt>
                <c:pt idx="875">
                  <c:v>59.254922161409198</c:v>
                </c:pt>
                <c:pt idx="876">
                  <c:v>59.255222192757437</c:v>
                </c:pt>
                <c:pt idx="877">
                  <c:v>59.255522221717101</c:v>
                </c:pt>
                <c:pt idx="878">
                  <c:v>59.25582224828824</c:v>
                </c:pt>
                <c:pt idx="879">
                  <c:v>59.25612227247079</c:v>
                </c:pt>
                <c:pt idx="880">
                  <c:v>59.25642229426483</c:v>
                </c:pt>
                <c:pt idx="881">
                  <c:v>59.256722313670274</c:v>
                </c:pt>
                <c:pt idx="882">
                  <c:v>59.257022330687136</c:v>
                </c:pt>
                <c:pt idx="883">
                  <c:v>59.257322345315465</c:v>
                </c:pt>
                <c:pt idx="884">
                  <c:v>59.257622357555235</c:v>
                </c:pt>
                <c:pt idx="885">
                  <c:v>59.25792236740638</c:v>
                </c:pt>
                <c:pt idx="886">
                  <c:v>59.258222374868993</c:v>
                </c:pt>
                <c:pt idx="887">
                  <c:v>59.258522379943017</c:v>
                </c:pt>
                <c:pt idx="888">
                  <c:v>59.258822382628445</c:v>
                </c:pt>
                <c:pt idx="889">
                  <c:v>59.259122382925291</c:v>
                </c:pt>
                <c:pt idx="890">
                  <c:v>59.259422380833534</c:v>
                </c:pt>
                <c:pt idx="891">
                  <c:v>59.259722376353189</c:v>
                </c:pt>
                <c:pt idx="892">
                  <c:v>59.260022369484261</c:v>
                </c:pt>
                <c:pt idx="893">
                  <c:v>59.260322360226702</c:v>
                </c:pt>
                <c:pt idx="894">
                  <c:v>59.260622348580547</c:v>
                </c:pt>
                <c:pt idx="895">
                  <c:v>59.26092233454581</c:v>
                </c:pt>
                <c:pt idx="896">
                  <c:v>59.261222318122414</c:v>
                </c:pt>
                <c:pt idx="897">
                  <c:v>59.261522299310457</c:v>
                </c:pt>
                <c:pt idx="898">
                  <c:v>59.261822278109825</c:v>
                </c:pt>
                <c:pt idx="899">
                  <c:v>59.262122254520605</c:v>
                </c:pt>
                <c:pt idx="900">
                  <c:v>59.262422228542782</c:v>
                </c:pt>
                <c:pt idx="901">
                  <c:v>59.262722200176292</c:v>
                </c:pt>
                <c:pt idx="902">
                  <c:v>59.263022169421212</c:v>
                </c:pt>
                <c:pt idx="903">
                  <c:v>59.263322136277466</c:v>
                </c:pt>
                <c:pt idx="904">
                  <c:v>59.26362210074511</c:v>
                </c:pt>
                <c:pt idx="905">
                  <c:v>59.263922062824086</c:v>
                </c:pt>
                <c:pt idx="906">
                  <c:v>59.264222022514424</c:v>
                </c:pt>
                <c:pt idx="907">
                  <c:v>59.264521979816095</c:v>
                </c:pt>
                <c:pt idx="908">
                  <c:v>59.264821934729149</c:v>
                </c:pt>
                <c:pt idx="909">
                  <c:v>59.265121887253564</c:v>
                </c:pt>
                <c:pt idx="910">
                  <c:v>59.265421837389319</c:v>
                </c:pt>
                <c:pt idx="911">
                  <c:v>59.265721785136378</c:v>
                </c:pt>
                <c:pt idx="912">
                  <c:v>59.266021730494778</c:v>
                </c:pt>
                <c:pt idx="913">
                  <c:v>59.266321673464518</c:v>
                </c:pt>
                <c:pt idx="914">
                  <c:v>59.266621614045604</c:v>
                </c:pt>
                <c:pt idx="915">
                  <c:v>59.266921552238038</c:v>
                </c:pt>
                <c:pt idx="916">
                  <c:v>59.267221488041741</c:v>
                </c:pt>
                <c:pt idx="917">
                  <c:v>59.267521421456806</c:v>
                </c:pt>
                <c:pt idx="918">
                  <c:v>59.267821352483139</c:v>
                </c:pt>
                <c:pt idx="919">
                  <c:v>59.268121281120841</c:v>
                </c:pt>
                <c:pt idx="920">
                  <c:v>59.268421207369826</c:v>
                </c:pt>
                <c:pt idx="921">
                  <c:v>59.268721131230159</c:v>
                </c:pt>
                <c:pt idx="922">
                  <c:v>59.269021052701753</c:v>
                </c:pt>
                <c:pt idx="923">
                  <c:v>59.269320971784659</c:v>
                </c:pt>
                <c:pt idx="924">
                  <c:v>59.269620888478826</c:v>
                </c:pt>
                <c:pt idx="925">
                  <c:v>59.269920802784348</c:v>
                </c:pt>
                <c:pt idx="926">
                  <c:v>59.270220714701146</c:v>
                </c:pt>
                <c:pt idx="927">
                  <c:v>59.270520624229214</c:v>
                </c:pt>
                <c:pt idx="928">
                  <c:v>59.27082053136855</c:v>
                </c:pt>
                <c:pt idx="929">
                  <c:v>59.27112043611919</c:v>
                </c:pt>
                <c:pt idx="930">
                  <c:v>59.2714203384811</c:v>
                </c:pt>
                <c:pt idx="931">
                  <c:v>59.271720238454293</c:v>
                </c:pt>
                <c:pt idx="932">
                  <c:v>59.272020136038769</c:v>
                </c:pt>
                <c:pt idx="933">
                  <c:v>59.272320031234507</c:v>
                </c:pt>
                <c:pt idx="934">
                  <c:v>59.2726199240415</c:v>
                </c:pt>
                <c:pt idx="935">
                  <c:v>59.272919814459762</c:v>
                </c:pt>
                <c:pt idx="936">
                  <c:v>59.273219702489264</c:v>
                </c:pt>
                <c:pt idx="937">
                  <c:v>59.273519588130043</c:v>
                </c:pt>
                <c:pt idx="938">
                  <c:v>59.273819471382041</c:v>
                </c:pt>
                <c:pt idx="939">
                  <c:v>59.274119352245336</c:v>
                </c:pt>
                <c:pt idx="940">
                  <c:v>59.27441923071985</c:v>
                </c:pt>
                <c:pt idx="941">
                  <c:v>59.274719106805605</c:v>
                </c:pt>
                <c:pt idx="942">
                  <c:v>59.275018980502615</c:v>
                </c:pt>
                <c:pt idx="943">
                  <c:v>59.27531885181083</c:v>
                </c:pt>
                <c:pt idx="944">
                  <c:v>59.275618720730293</c:v>
                </c:pt>
                <c:pt idx="945">
                  <c:v>59.27591858726101</c:v>
                </c:pt>
                <c:pt idx="946">
                  <c:v>59.276218451402933</c:v>
                </c:pt>
                <c:pt idx="947">
                  <c:v>59.276518313156075</c:v>
                </c:pt>
                <c:pt idx="948">
                  <c:v>59.276818172520436</c:v>
                </c:pt>
                <c:pt idx="949">
                  <c:v>59.277118029496023</c:v>
                </c:pt>
                <c:pt idx="950">
                  <c:v>59.277417884082816</c:v>
                </c:pt>
                <c:pt idx="951">
                  <c:v>59.277717736280835</c:v>
                </c:pt>
                <c:pt idx="952">
                  <c:v>59.278017586090044</c:v>
                </c:pt>
                <c:pt idx="953">
                  <c:v>59.278317433510452</c:v>
                </c:pt>
                <c:pt idx="954">
                  <c:v>59.278617278542072</c:v>
                </c:pt>
                <c:pt idx="955">
                  <c:v>59.278917121184868</c:v>
                </c:pt>
                <c:pt idx="956">
                  <c:v>59.279216961438905</c:v>
                </c:pt>
                <c:pt idx="957">
                  <c:v>59.279516799304062</c:v>
                </c:pt>
                <c:pt idx="958">
                  <c:v>59.279816634780467</c:v>
                </c:pt>
                <c:pt idx="959">
                  <c:v>59.280116467868041</c:v>
                </c:pt>
                <c:pt idx="960">
                  <c:v>59.280416298566792</c:v>
                </c:pt>
                <c:pt idx="961">
                  <c:v>59.280716126876712</c:v>
                </c:pt>
                <c:pt idx="962">
                  <c:v>59.281015952797816</c:v>
                </c:pt>
                <c:pt idx="963">
                  <c:v>59.281315776330068</c:v>
                </c:pt>
                <c:pt idx="964">
                  <c:v>59.281615597473518</c:v>
                </c:pt>
                <c:pt idx="965">
                  <c:v>59.281915416228109</c:v>
                </c:pt>
                <c:pt idx="966">
                  <c:v>59.282215232593877</c:v>
                </c:pt>
                <c:pt idx="967">
                  <c:v>59.282515046570801</c:v>
                </c:pt>
                <c:pt idx="968">
                  <c:v>59.282814858158879</c:v>
                </c:pt>
                <c:pt idx="969">
                  <c:v>59.283114667358099</c:v>
                </c:pt>
                <c:pt idx="970">
                  <c:v>59.283414474168488</c:v>
                </c:pt>
                <c:pt idx="971">
                  <c:v>59.283714278589983</c:v>
                </c:pt>
                <c:pt idx="972">
                  <c:v>59.284014080622669</c:v>
                </c:pt>
                <c:pt idx="973">
                  <c:v>59.284313880266453</c:v>
                </c:pt>
                <c:pt idx="974">
                  <c:v>59.284613677521392</c:v>
                </c:pt>
                <c:pt idx="975">
                  <c:v>59.284913472387451</c:v>
                </c:pt>
                <c:pt idx="976">
                  <c:v>59.285213264864666</c:v>
                </c:pt>
                <c:pt idx="977">
                  <c:v>59.285513054952958</c:v>
                </c:pt>
                <c:pt idx="978">
                  <c:v>59.285812842652433</c:v>
                </c:pt>
                <c:pt idx="979">
                  <c:v>59.286112627962986</c:v>
                </c:pt>
                <c:pt idx="980">
                  <c:v>59.28641241088463</c:v>
                </c:pt>
                <c:pt idx="981">
                  <c:v>59.286712191417458</c:v>
                </c:pt>
                <c:pt idx="982">
                  <c:v>59.287011969561341</c:v>
                </c:pt>
                <c:pt idx="983">
                  <c:v>59.28731174531633</c:v>
                </c:pt>
                <c:pt idx="984">
                  <c:v>59.287611518682453</c:v>
                </c:pt>
                <c:pt idx="985">
                  <c:v>59.287911289659654</c:v>
                </c:pt>
                <c:pt idx="986">
                  <c:v>59.288211058247946</c:v>
                </c:pt>
                <c:pt idx="987">
                  <c:v>59.288510824447364</c:v>
                </c:pt>
                <c:pt idx="988">
                  <c:v>59.288810588257853</c:v>
                </c:pt>
                <c:pt idx="989">
                  <c:v>59.289110349679397</c:v>
                </c:pt>
                <c:pt idx="990">
                  <c:v>59.289410108712069</c:v>
                </c:pt>
                <c:pt idx="991">
                  <c:v>59.289709865355796</c:v>
                </c:pt>
                <c:pt idx="992">
                  <c:v>59.290009619610608</c:v>
                </c:pt>
                <c:pt idx="993">
                  <c:v>59.290309371476511</c:v>
                </c:pt>
                <c:pt idx="994">
                  <c:v>59.290609120953491</c:v>
                </c:pt>
                <c:pt idx="995">
                  <c:v>59.290908868041505</c:v>
                </c:pt>
                <c:pt idx="996">
                  <c:v>59.291208612740583</c:v>
                </c:pt>
                <c:pt idx="997">
                  <c:v>59.291508355050738</c:v>
                </c:pt>
                <c:pt idx="998">
                  <c:v>59.291808094971941</c:v>
                </c:pt>
                <c:pt idx="999">
                  <c:v>59.2921078325042</c:v>
                </c:pt>
                <c:pt idx="1000">
                  <c:v>59.292407567647544</c:v>
                </c:pt>
              </c:numCache>
            </c:numRef>
          </c:yVal>
          <c:smooth val="0"/>
          <c:extLst>
            <c:ext xmlns:c16="http://schemas.microsoft.com/office/drawing/2014/chart" uri="{C3380CC4-5D6E-409C-BE32-E72D297353CC}">
              <c16:uniqueId val="{00000002-B98B-46BB-BB51-DAAA2071230C}"/>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33.600100000000211</c:v>
                </c:pt>
                <c:pt idx="518">
                  <c:v>33.600200000000214</c:v>
                </c:pt>
                <c:pt idx="519">
                  <c:v>33.600300000000217</c:v>
                </c:pt>
                <c:pt idx="520">
                  <c:v>33.600400000000221</c:v>
                </c:pt>
                <c:pt idx="521">
                  <c:v>33.600500000000224</c:v>
                </c:pt>
                <c:pt idx="522">
                  <c:v>33.600600000000227</c:v>
                </c:pt>
                <c:pt idx="523">
                  <c:v>33.600700000000231</c:v>
                </c:pt>
                <c:pt idx="524">
                  <c:v>33.600800000000234</c:v>
                </c:pt>
                <c:pt idx="525">
                  <c:v>33.600900000000237</c:v>
                </c:pt>
                <c:pt idx="526">
                  <c:v>33.601000000000241</c:v>
                </c:pt>
                <c:pt idx="527">
                  <c:v>33.601100000000244</c:v>
                </c:pt>
                <c:pt idx="528">
                  <c:v>33.601200000000247</c:v>
                </c:pt>
                <c:pt idx="529">
                  <c:v>33.601300000000251</c:v>
                </c:pt>
                <c:pt idx="530">
                  <c:v>33.601400000000254</c:v>
                </c:pt>
                <c:pt idx="531">
                  <c:v>33.601500000000257</c:v>
                </c:pt>
                <c:pt idx="532">
                  <c:v>33.601600000000261</c:v>
                </c:pt>
                <c:pt idx="533">
                  <c:v>33.601700000000264</c:v>
                </c:pt>
                <c:pt idx="534">
                  <c:v>33.601800000000267</c:v>
                </c:pt>
                <c:pt idx="535">
                  <c:v>33.601900000000271</c:v>
                </c:pt>
                <c:pt idx="536">
                  <c:v>33.602000000000274</c:v>
                </c:pt>
                <c:pt idx="537">
                  <c:v>33.602100000000277</c:v>
                </c:pt>
                <c:pt idx="538">
                  <c:v>33.602200000000281</c:v>
                </c:pt>
                <c:pt idx="539">
                  <c:v>33.602300000000284</c:v>
                </c:pt>
                <c:pt idx="540">
                  <c:v>33.602400000000287</c:v>
                </c:pt>
                <c:pt idx="541">
                  <c:v>33.60250000000029</c:v>
                </c:pt>
                <c:pt idx="542">
                  <c:v>33.602600000000294</c:v>
                </c:pt>
                <c:pt idx="543">
                  <c:v>33.602700000000297</c:v>
                </c:pt>
                <c:pt idx="544">
                  <c:v>33.6028000000003</c:v>
                </c:pt>
                <c:pt idx="545">
                  <c:v>33.602900000000304</c:v>
                </c:pt>
                <c:pt idx="546">
                  <c:v>33.603000000000307</c:v>
                </c:pt>
                <c:pt idx="547">
                  <c:v>33.60310000000031</c:v>
                </c:pt>
                <c:pt idx="548">
                  <c:v>33.603200000000314</c:v>
                </c:pt>
                <c:pt idx="549">
                  <c:v>33.603300000000317</c:v>
                </c:pt>
                <c:pt idx="550">
                  <c:v>33.60340000000032</c:v>
                </c:pt>
                <c:pt idx="551">
                  <c:v>33.603500000000324</c:v>
                </c:pt>
                <c:pt idx="552">
                  <c:v>33.603600000000327</c:v>
                </c:pt>
                <c:pt idx="553">
                  <c:v>33.60370000000033</c:v>
                </c:pt>
                <c:pt idx="554">
                  <c:v>33.603800000000334</c:v>
                </c:pt>
                <c:pt idx="555">
                  <c:v>33.603900000000337</c:v>
                </c:pt>
                <c:pt idx="556">
                  <c:v>33.60400000000034</c:v>
                </c:pt>
                <c:pt idx="557">
                  <c:v>33.604100000000344</c:v>
                </c:pt>
                <c:pt idx="558">
                  <c:v>33.604200000000347</c:v>
                </c:pt>
                <c:pt idx="559">
                  <c:v>33.60430000000035</c:v>
                </c:pt>
                <c:pt idx="560">
                  <c:v>33.604400000000354</c:v>
                </c:pt>
                <c:pt idx="561">
                  <c:v>33.604500000000357</c:v>
                </c:pt>
                <c:pt idx="562">
                  <c:v>33.60460000000036</c:v>
                </c:pt>
                <c:pt idx="563">
                  <c:v>33.604700000000364</c:v>
                </c:pt>
                <c:pt idx="564">
                  <c:v>33.604800000000367</c:v>
                </c:pt>
                <c:pt idx="565">
                  <c:v>33.60490000000037</c:v>
                </c:pt>
                <c:pt idx="566">
                  <c:v>33.605000000000373</c:v>
                </c:pt>
                <c:pt idx="567">
                  <c:v>33.605100000000377</c:v>
                </c:pt>
                <c:pt idx="568">
                  <c:v>33.60520000000038</c:v>
                </c:pt>
                <c:pt idx="569">
                  <c:v>33.605300000000383</c:v>
                </c:pt>
                <c:pt idx="570">
                  <c:v>33.605400000000387</c:v>
                </c:pt>
                <c:pt idx="571">
                  <c:v>33.60550000000039</c:v>
                </c:pt>
                <c:pt idx="572">
                  <c:v>33.605600000000393</c:v>
                </c:pt>
                <c:pt idx="573">
                  <c:v>33.605700000000397</c:v>
                </c:pt>
                <c:pt idx="574">
                  <c:v>33.6058000000004</c:v>
                </c:pt>
                <c:pt idx="575">
                  <c:v>33.605900000000403</c:v>
                </c:pt>
                <c:pt idx="576">
                  <c:v>33.606000000000407</c:v>
                </c:pt>
                <c:pt idx="577">
                  <c:v>33.60610000000041</c:v>
                </c:pt>
                <c:pt idx="578">
                  <c:v>33.606200000000413</c:v>
                </c:pt>
                <c:pt idx="579">
                  <c:v>33.606300000000417</c:v>
                </c:pt>
                <c:pt idx="580">
                  <c:v>33.60640000000042</c:v>
                </c:pt>
                <c:pt idx="581">
                  <c:v>33.606500000000423</c:v>
                </c:pt>
                <c:pt idx="582">
                  <c:v>33.606600000000427</c:v>
                </c:pt>
                <c:pt idx="583">
                  <c:v>33.60670000000043</c:v>
                </c:pt>
                <c:pt idx="584">
                  <c:v>33.606800000000433</c:v>
                </c:pt>
                <c:pt idx="585">
                  <c:v>33.606900000000437</c:v>
                </c:pt>
                <c:pt idx="586">
                  <c:v>33.60700000000044</c:v>
                </c:pt>
                <c:pt idx="587">
                  <c:v>33.607100000000443</c:v>
                </c:pt>
                <c:pt idx="588">
                  <c:v>33.607200000000446</c:v>
                </c:pt>
                <c:pt idx="589">
                  <c:v>33.60730000000045</c:v>
                </c:pt>
                <c:pt idx="590">
                  <c:v>33.607400000000453</c:v>
                </c:pt>
                <c:pt idx="591">
                  <c:v>33.607500000000456</c:v>
                </c:pt>
                <c:pt idx="592">
                  <c:v>33.60760000000046</c:v>
                </c:pt>
                <c:pt idx="593">
                  <c:v>33.607700000000463</c:v>
                </c:pt>
                <c:pt idx="594">
                  <c:v>33.607800000000466</c:v>
                </c:pt>
                <c:pt idx="595">
                  <c:v>33.60790000000047</c:v>
                </c:pt>
                <c:pt idx="596">
                  <c:v>33.608000000000473</c:v>
                </c:pt>
                <c:pt idx="597">
                  <c:v>33.608100000000476</c:v>
                </c:pt>
                <c:pt idx="598">
                  <c:v>33.60820000000048</c:v>
                </c:pt>
                <c:pt idx="599">
                  <c:v>33.608300000000483</c:v>
                </c:pt>
                <c:pt idx="600">
                  <c:v>33.608400000000486</c:v>
                </c:pt>
                <c:pt idx="601">
                  <c:v>33.60850000000049</c:v>
                </c:pt>
                <c:pt idx="602">
                  <c:v>33.608600000000493</c:v>
                </c:pt>
                <c:pt idx="603">
                  <c:v>33.608700000000496</c:v>
                </c:pt>
                <c:pt idx="604">
                  <c:v>33.6088000000005</c:v>
                </c:pt>
                <c:pt idx="605">
                  <c:v>33.608900000000503</c:v>
                </c:pt>
                <c:pt idx="606">
                  <c:v>33.609000000000506</c:v>
                </c:pt>
                <c:pt idx="607">
                  <c:v>33.60910000000051</c:v>
                </c:pt>
                <c:pt idx="608">
                  <c:v>33.609200000000513</c:v>
                </c:pt>
                <c:pt idx="609">
                  <c:v>33.609300000000516</c:v>
                </c:pt>
                <c:pt idx="610">
                  <c:v>33.60940000000052</c:v>
                </c:pt>
                <c:pt idx="611">
                  <c:v>33.609500000000523</c:v>
                </c:pt>
                <c:pt idx="612">
                  <c:v>33.609600000000526</c:v>
                </c:pt>
                <c:pt idx="613">
                  <c:v>33.609700000000529</c:v>
                </c:pt>
                <c:pt idx="614">
                  <c:v>33.609800000000533</c:v>
                </c:pt>
                <c:pt idx="615">
                  <c:v>33.609900000000536</c:v>
                </c:pt>
                <c:pt idx="616">
                  <c:v>33.610000000000539</c:v>
                </c:pt>
                <c:pt idx="617">
                  <c:v>33.610100000000543</c:v>
                </c:pt>
                <c:pt idx="618">
                  <c:v>33.610200000000546</c:v>
                </c:pt>
                <c:pt idx="619">
                  <c:v>33.610300000000549</c:v>
                </c:pt>
                <c:pt idx="620">
                  <c:v>33.610400000000553</c:v>
                </c:pt>
                <c:pt idx="621">
                  <c:v>33.610500000000556</c:v>
                </c:pt>
                <c:pt idx="622">
                  <c:v>33.610600000000559</c:v>
                </c:pt>
                <c:pt idx="623">
                  <c:v>33.610700000000563</c:v>
                </c:pt>
                <c:pt idx="624">
                  <c:v>33.610800000000566</c:v>
                </c:pt>
                <c:pt idx="625">
                  <c:v>33.610900000000569</c:v>
                </c:pt>
                <c:pt idx="626">
                  <c:v>33.611000000000573</c:v>
                </c:pt>
                <c:pt idx="627">
                  <c:v>33.611100000000576</c:v>
                </c:pt>
                <c:pt idx="628">
                  <c:v>33.611200000000579</c:v>
                </c:pt>
                <c:pt idx="629">
                  <c:v>33.611300000000583</c:v>
                </c:pt>
                <c:pt idx="630">
                  <c:v>33.611400000000586</c:v>
                </c:pt>
                <c:pt idx="631">
                  <c:v>33.611500000000589</c:v>
                </c:pt>
                <c:pt idx="632">
                  <c:v>33.611600000000593</c:v>
                </c:pt>
                <c:pt idx="633">
                  <c:v>33.611700000000596</c:v>
                </c:pt>
                <c:pt idx="634">
                  <c:v>33.611800000000599</c:v>
                </c:pt>
                <c:pt idx="635">
                  <c:v>33.611900000000603</c:v>
                </c:pt>
                <c:pt idx="636">
                  <c:v>33.612000000000606</c:v>
                </c:pt>
                <c:pt idx="637">
                  <c:v>33.612100000000609</c:v>
                </c:pt>
                <c:pt idx="638">
                  <c:v>33.612200000000612</c:v>
                </c:pt>
                <c:pt idx="639">
                  <c:v>33.612300000000616</c:v>
                </c:pt>
                <c:pt idx="640">
                  <c:v>33.612400000000619</c:v>
                </c:pt>
                <c:pt idx="641">
                  <c:v>33.612500000000622</c:v>
                </c:pt>
                <c:pt idx="642">
                  <c:v>33.612600000000626</c:v>
                </c:pt>
                <c:pt idx="643">
                  <c:v>33.612700000000629</c:v>
                </c:pt>
                <c:pt idx="644">
                  <c:v>33.612800000000632</c:v>
                </c:pt>
                <c:pt idx="645">
                  <c:v>33.612900000000636</c:v>
                </c:pt>
                <c:pt idx="646">
                  <c:v>33.613000000000639</c:v>
                </c:pt>
                <c:pt idx="647">
                  <c:v>33.613100000000642</c:v>
                </c:pt>
                <c:pt idx="648">
                  <c:v>33.613200000000646</c:v>
                </c:pt>
                <c:pt idx="649">
                  <c:v>33.613300000000649</c:v>
                </c:pt>
                <c:pt idx="650">
                  <c:v>33.613400000000652</c:v>
                </c:pt>
                <c:pt idx="651">
                  <c:v>33.613500000000656</c:v>
                </c:pt>
                <c:pt idx="652">
                  <c:v>33.613600000000659</c:v>
                </c:pt>
                <c:pt idx="653">
                  <c:v>33.613700000000662</c:v>
                </c:pt>
                <c:pt idx="654">
                  <c:v>33.613800000000666</c:v>
                </c:pt>
                <c:pt idx="655">
                  <c:v>33.613900000000669</c:v>
                </c:pt>
                <c:pt idx="656">
                  <c:v>33.614000000000672</c:v>
                </c:pt>
                <c:pt idx="657">
                  <c:v>33.614100000000676</c:v>
                </c:pt>
                <c:pt idx="658">
                  <c:v>33.614200000000679</c:v>
                </c:pt>
                <c:pt idx="659">
                  <c:v>33.614300000000682</c:v>
                </c:pt>
                <c:pt idx="660">
                  <c:v>33.614400000000686</c:v>
                </c:pt>
                <c:pt idx="661">
                  <c:v>33.614500000000689</c:v>
                </c:pt>
                <c:pt idx="662">
                  <c:v>33.614600000000692</c:v>
                </c:pt>
                <c:pt idx="663">
                  <c:v>33.614700000000695</c:v>
                </c:pt>
                <c:pt idx="664">
                  <c:v>33.614800000000699</c:v>
                </c:pt>
                <c:pt idx="665">
                  <c:v>33.614900000000702</c:v>
                </c:pt>
                <c:pt idx="666">
                  <c:v>33.615000000000705</c:v>
                </c:pt>
                <c:pt idx="667">
                  <c:v>33.615100000000709</c:v>
                </c:pt>
                <c:pt idx="668">
                  <c:v>33.615200000000712</c:v>
                </c:pt>
                <c:pt idx="669">
                  <c:v>33.615300000000715</c:v>
                </c:pt>
                <c:pt idx="670">
                  <c:v>33.615400000000719</c:v>
                </c:pt>
                <c:pt idx="671">
                  <c:v>33.615500000000722</c:v>
                </c:pt>
                <c:pt idx="672">
                  <c:v>33.615600000000725</c:v>
                </c:pt>
                <c:pt idx="673">
                  <c:v>33.615700000000729</c:v>
                </c:pt>
                <c:pt idx="674">
                  <c:v>33.615800000000732</c:v>
                </c:pt>
                <c:pt idx="675">
                  <c:v>33.615900000000735</c:v>
                </c:pt>
                <c:pt idx="676">
                  <c:v>33.616000000000739</c:v>
                </c:pt>
                <c:pt idx="677">
                  <c:v>33.616100000000742</c:v>
                </c:pt>
                <c:pt idx="678">
                  <c:v>33.616200000000745</c:v>
                </c:pt>
                <c:pt idx="679">
                  <c:v>33.616300000000749</c:v>
                </c:pt>
                <c:pt idx="680">
                  <c:v>33.616400000000752</c:v>
                </c:pt>
                <c:pt idx="681">
                  <c:v>33.616500000000755</c:v>
                </c:pt>
                <c:pt idx="682">
                  <c:v>33.616600000000759</c:v>
                </c:pt>
                <c:pt idx="683">
                  <c:v>33.616700000000762</c:v>
                </c:pt>
                <c:pt idx="684">
                  <c:v>33.616800000000765</c:v>
                </c:pt>
                <c:pt idx="685">
                  <c:v>33.616900000000769</c:v>
                </c:pt>
                <c:pt idx="686">
                  <c:v>33.617000000000772</c:v>
                </c:pt>
                <c:pt idx="687">
                  <c:v>33.617100000000775</c:v>
                </c:pt>
                <c:pt idx="688">
                  <c:v>33.617200000000778</c:v>
                </c:pt>
                <c:pt idx="689">
                  <c:v>33.617300000000782</c:v>
                </c:pt>
                <c:pt idx="690">
                  <c:v>33.617400000000785</c:v>
                </c:pt>
                <c:pt idx="691">
                  <c:v>33.617500000000788</c:v>
                </c:pt>
                <c:pt idx="692">
                  <c:v>33.617600000000792</c:v>
                </c:pt>
                <c:pt idx="693">
                  <c:v>33.617700000000795</c:v>
                </c:pt>
                <c:pt idx="694">
                  <c:v>33.617800000000798</c:v>
                </c:pt>
                <c:pt idx="695">
                  <c:v>33.617900000000802</c:v>
                </c:pt>
                <c:pt idx="696">
                  <c:v>33.618000000000805</c:v>
                </c:pt>
                <c:pt idx="697">
                  <c:v>33.618100000000808</c:v>
                </c:pt>
                <c:pt idx="698">
                  <c:v>33.618200000000812</c:v>
                </c:pt>
                <c:pt idx="699">
                  <c:v>33.618300000000815</c:v>
                </c:pt>
                <c:pt idx="700">
                  <c:v>33.618400000000818</c:v>
                </c:pt>
                <c:pt idx="701">
                  <c:v>33.618500000000822</c:v>
                </c:pt>
                <c:pt idx="702">
                  <c:v>33.618600000000825</c:v>
                </c:pt>
                <c:pt idx="703">
                  <c:v>33.618700000000828</c:v>
                </c:pt>
                <c:pt idx="704">
                  <c:v>33.618800000000832</c:v>
                </c:pt>
                <c:pt idx="705">
                  <c:v>33.618900000000835</c:v>
                </c:pt>
                <c:pt idx="706">
                  <c:v>33.619000000000838</c:v>
                </c:pt>
                <c:pt idx="707">
                  <c:v>33.619100000000842</c:v>
                </c:pt>
                <c:pt idx="708">
                  <c:v>33.619200000000845</c:v>
                </c:pt>
                <c:pt idx="709">
                  <c:v>33.619300000000848</c:v>
                </c:pt>
                <c:pt idx="710">
                  <c:v>33.619400000000851</c:v>
                </c:pt>
                <c:pt idx="711">
                  <c:v>33.619500000000855</c:v>
                </c:pt>
                <c:pt idx="712">
                  <c:v>33.619600000000858</c:v>
                </c:pt>
                <c:pt idx="713">
                  <c:v>33.619700000000861</c:v>
                </c:pt>
                <c:pt idx="714">
                  <c:v>33.619800000000865</c:v>
                </c:pt>
                <c:pt idx="715">
                  <c:v>33.619900000000868</c:v>
                </c:pt>
                <c:pt idx="716">
                  <c:v>33.620000000000871</c:v>
                </c:pt>
                <c:pt idx="717">
                  <c:v>33.620100000000875</c:v>
                </c:pt>
                <c:pt idx="718">
                  <c:v>33.620200000000878</c:v>
                </c:pt>
                <c:pt idx="719">
                  <c:v>33.620300000000881</c:v>
                </c:pt>
                <c:pt idx="720">
                  <c:v>33.620400000000885</c:v>
                </c:pt>
                <c:pt idx="721">
                  <c:v>33.620500000000888</c:v>
                </c:pt>
                <c:pt idx="722">
                  <c:v>33.620600000000891</c:v>
                </c:pt>
                <c:pt idx="723">
                  <c:v>33.620700000000895</c:v>
                </c:pt>
                <c:pt idx="724">
                  <c:v>33.620800000000898</c:v>
                </c:pt>
                <c:pt idx="725">
                  <c:v>33.620900000000901</c:v>
                </c:pt>
                <c:pt idx="726">
                  <c:v>33.621000000000905</c:v>
                </c:pt>
                <c:pt idx="727">
                  <c:v>33.621100000000908</c:v>
                </c:pt>
                <c:pt idx="728">
                  <c:v>33.621200000000911</c:v>
                </c:pt>
                <c:pt idx="729">
                  <c:v>33.621300000000915</c:v>
                </c:pt>
                <c:pt idx="730">
                  <c:v>33.621400000000918</c:v>
                </c:pt>
                <c:pt idx="731">
                  <c:v>33.621500000000921</c:v>
                </c:pt>
                <c:pt idx="732">
                  <c:v>33.621600000000925</c:v>
                </c:pt>
                <c:pt idx="733">
                  <c:v>33.621700000000928</c:v>
                </c:pt>
                <c:pt idx="734">
                  <c:v>33.621800000000931</c:v>
                </c:pt>
                <c:pt idx="735">
                  <c:v>33.621900000000934</c:v>
                </c:pt>
                <c:pt idx="736">
                  <c:v>33.622000000000938</c:v>
                </c:pt>
                <c:pt idx="737">
                  <c:v>33.622100000000941</c:v>
                </c:pt>
                <c:pt idx="738">
                  <c:v>33.622200000000944</c:v>
                </c:pt>
                <c:pt idx="739">
                  <c:v>33.622300000000948</c:v>
                </c:pt>
                <c:pt idx="740">
                  <c:v>33.622400000000951</c:v>
                </c:pt>
                <c:pt idx="741">
                  <c:v>33.622500000000954</c:v>
                </c:pt>
                <c:pt idx="742">
                  <c:v>33.622600000000958</c:v>
                </c:pt>
                <c:pt idx="743">
                  <c:v>33.622700000000961</c:v>
                </c:pt>
                <c:pt idx="744">
                  <c:v>33.622800000000964</c:v>
                </c:pt>
                <c:pt idx="745">
                  <c:v>33.622900000000968</c:v>
                </c:pt>
                <c:pt idx="746">
                  <c:v>33.623000000000971</c:v>
                </c:pt>
                <c:pt idx="747">
                  <c:v>33.623100000000974</c:v>
                </c:pt>
                <c:pt idx="748">
                  <c:v>33.623200000000978</c:v>
                </c:pt>
                <c:pt idx="749">
                  <c:v>33.623300000000981</c:v>
                </c:pt>
                <c:pt idx="750">
                  <c:v>33.623400000000984</c:v>
                </c:pt>
                <c:pt idx="751">
                  <c:v>33.623500000000988</c:v>
                </c:pt>
                <c:pt idx="752">
                  <c:v>33.623600000000991</c:v>
                </c:pt>
                <c:pt idx="753">
                  <c:v>33.623700000000994</c:v>
                </c:pt>
                <c:pt idx="754">
                  <c:v>33.623800000000998</c:v>
                </c:pt>
                <c:pt idx="755">
                  <c:v>33.623900000001001</c:v>
                </c:pt>
                <c:pt idx="756">
                  <c:v>33.624000000001004</c:v>
                </c:pt>
                <c:pt idx="757">
                  <c:v>33.624100000001008</c:v>
                </c:pt>
                <c:pt idx="758">
                  <c:v>33.624200000001011</c:v>
                </c:pt>
                <c:pt idx="759">
                  <c:v>33.624300000001014</c:v>
                </c:pt>
                <c:pt idx="760">
                  <c:v>33.624400000001017</c:v>
                </c:pt>
                <c:pt idx="761">
                  <c:v>33.624500000001021</c:v>
                </c:pt>
                <c:pt idx="762">
                  <c:v>33.624600000001024</c:v>
                </c:pt>
                <c:pt idx="763">
                  <c:v>33.624700000001027</c:v>
                </c:pt>
                <c:pt idx="764">
                  <c:v>33.624800000001031</c:v>
                </c:pt>
                <c:pt idx="765">
                  <c:v>33.624900000001034</c:v>
                </c:pt>
                <c:pt idx="766">
                  <c:v>33.625000000001037</c:v>
                </c:pt>
                <c:pt idx="767">
                  <c:v>33.625100000001041</c:v>
                </c:pt>
                <c:pt idx="768">
                  <c:v>33.625200000001044</c:v>
                </c:pt>
                <c:pt idx="769">
                  <c:v>33.625300000001047</c:v>
                </c:pt>
                <c:pt idx="770">
                  <c:v>33.625400000001051</c:v>
                </c:pt>
                <c:pt idx="771">
                  <c:v>33.625500000001054</c:v>
                </c:pt>
                <c:pt idx="772">
                  <c:v>33.625600000001057</c:v>
                </c:pt>
                <c:pt idx="773">
                  <c:v>33.625700000001061</c:v>
                </c:pt>
                <c:pt idx="774">
                  <c:v>33.625800000001064</c:v>
                </c:pt>
                <c:pt idx="775">
                  <c:v>33.625900000001067</c:v>
                </c:pt>
                <c:pt idx="776">
                  <c:v>33.626000000001071</c:v>
                </c:pt>
                <c:pt idx="777">
                  <c:v>33.626100000001074</c:v>
                </c:pt>
                <c:pt idx="778">
                  <c:v>33.626200000001077</c:v>
                </c:pt>
                <c:pt idx="779">
                  <c:v>33.626300000001081</c:v>
                </c:pt>
                <c:pt idx="780">
                  <c:v>33.626400000001084</c:v>
                </c:pt>
                <c:pt idx="781">
                  <c:v>33.626500000001087</c:v>
                </c:pt>
                <c:pt idx="782">
                  <c:v>33.626600000001091</c:v>
                </c:pt>
                <c:pt idx="783">
                  <c:v>33.626700000001094</c:v>
                </c:pt>
                <c:pt idx="784">
                  <c:v>33.626800000001097</c:v>
                </c:pt>
                <c:pt idx="785">
                  <c:v>33.6269000000011</c:v>
                </c:pt>
                <c:pt idx="786">
                  <c:v>33.627000000001104</c:v>
                </c:pt>
                <c:pt idx="787">
                  <c:v>33.627100000001107</c:v>
                </c:pt>
                <c:pt idx="788">
                  <c:v>33.62720000000111</c:v>
                </c:pt>
                <c:pt idx="789">
                  <c:v>33.627300000001114</c:v>
                </c:pt>
                <c:pt idx="790">
                  <c:v>33.627400000001117</c:v>
                </c:pt>
                <c:pt idx="791">
                  <c:v>33.62750000000112</c:v>
                </c:pt>
                <c:pt idx="792">
                  <c:v>33.627600000001124</c:v>
                </c:pt>
                <c:pt idx="793">
                  <c:v>33.627700000001127</c:v>
                </c:pt>
                <c:pt idx="794">
                  <c:v>33.62780000000113</c:v>
                </c:pt>
                <c:pt idx="795">
                  <c:v>33.627900000001134</c:v>
                </c:pt>
                <c:pt idx="796">
                  <c:v>33.628000000001137</c:v>
                </c:pt>
                <c:pt idx="797">
                  <c:v>33.62810000000114</c:v>
                </c:pt>
                <c:pt idx="798">
                  <c:v>33.628200000001144</c:v>
                </c:pt>
                <c:pt idx="799">
                  <c:v>33.628300000001147</c:v>
                </c:pt>
                <c:pt idx="800">
                  <c:v>33.62840000000115</c:v>
                </c:pt>
                <c:pt idx="801">
                  <c:v>33.628500000001154</c:v>
                </c:pt>
                <c:pt idx="802">
                  <c:v>33.628600000001157</c:v>
                </c:pt>
                <c:pt idx="803">
                  <c:v>33.62870000000116</c:v>
                </c:pt>
                <c:pt idx="804">
                  <c:v>33.628800000001164</c:v>
                </c:pt>
                <c:pt idx="805">
                  <c:v>33.628900000001167</c:v>
                </c:pt>
                <c:pt idx="806">
                  <c:v>33.62900000000117</c:v>
                </c:pt>
                <c:pt idx="807">
                  <c:v>33.629100000001173</c:v>
                </c:pt>
                <c:pt idx="808">
                  <c:v>33.629200000001177</c:v>
                </c:pt>
                <c:pt idx="809">
                  <c:v>33.62930000000118</c:v>
                </c:pt>
                <c:pt idx="810">
                  <c:v>33.629400000001183</c:v>
                </c:pt>
                <c:pt idx="811">
                  <c:v>33.629500000001187</c:v>
                </c:pt>
                <c:pt idx="812">
                  <c:v>33.62960000000119</c:v>
                </c:pt>
                <c:pt idx="813">
                  <c:v>33.629700000001193</c:v>
                </c:pt>
                <c:pt idx="814">
                  <c:v>33.629800000001197</c:v>
                </c:pt>
                <c:pt idx="815">
                  <c:v>33.6299000000012</c:v>
                </c:pt>
                <c:pt idx="816">
                  <c:v>33.630000000001203</c:v>
                </c:pt>
                <c:pt idx="817">
                  <c:v>33.630100000001207</c:v>
                </c:pt>
                <c:pt idx="818">
                  <c:v>33.63020000000121</c:v>
                </c:pt>
                <c:pt idx="819">
                  <c:v>33.630300000001213</c:v>
                </c:pt>
                <c:pt idx="820">
                  <c:v>33.630400000001217</c:v>
                </c:pt>
                <c:pt idx="821">
                  <c:v>33.63050000000122</c:v>
                </c:pt>
                <c:pt idx="822">
                  <c:v>33.630600000001223</c:v>
                </c:pt>
                <c:pt idx="823">
                  <c:v>33.630700000001227</c:v>
                </c:pt>
                <c:pt idx="824">
                  <c:v>33.63080000000123</c:v>
                </c:pt>
                <c:pt idx="825">
                  <c:v>33.630900000001233</c:v>
                </c:pt>
                <c:pt idx="826">
                  <c:v>33.631000000001237</c:v>
                </c:pt>
                <c:pt idx="827">
                  <c:v>33.63110000000124</c:v>
                </c:pt>
                <c:pt idx="828">
                  <c:v>33.631200000001243</c:v>
                </c:pt>
                <c:pt idx="829">
                  <c:v>33.631300000001247</c:v>
                </c:pt>
                <c:pt idx="830">
                  <c:v>33.63140000000125</c:v>
                </c:pt>
                <c:pt idx="831">
                  <c:v>33.631500000001253</c:v>
                </c:pt>
                <c:pt idx="832">
                  <c:v>33.631600000001256</c:v>
                </c:pt>
                <c:pt idx="833">
                  <c:v>33.63170000000126</c:v>
                </c:pt>
                <c:pt idx="834">
                  <c:v>33.631800000001263</c:v>
                </c:pt>
                <c:pt idx="835">
                  <c:v>33.631900000001266</c:v>
                </c:pt>
                <c:pt idx="836">
                  <c:v>33.63200000000127</c:v>
                </c:pt>
                <c:pt idx="837">
                  <c:v>33.632100000001273</c:v>
                </c:pt>
                <c:pt idx="838">
                  <c:v>33.632200000001276</c:v>
                </c:pt>
                <c:pt idx="839">
                  <c:v>33.63230000000128</c:v>
                </c:pt>
                <c:pt idx="840">
                  <c:v>33.632400000001283</c:v>
                </c:pt>
                <c:pt idx="841">
                  <c:v>33.632500000001286</c:v>
                </c:pt>
                <c:pt idx="842">
                  <c:v>33.63260000000129</c:v>
                </c:pt>
                <c:pt idx="843">
                  <c:v>33.632700000001293</c:v>
                </c:pt>
                <c:pt idx="844">
                  <c:v>33.632800000001296</c:v>
                </c:pt>
                <c:pt idx="845">
                  <c:v>33.6329000000013</c:v>
                </c:pt>
                <c:pt idx="846">
                  <c:v>33.633000000001303</c:v>
                </c:pt>
                <c:pt idx="847">
                  <c:v>33.633100000001306</c:v>
                </c:pt>
                <c:pt idx="848">
                  <c:v>33.63320000000131</c:v>
                </c:pt>
                <c:pt idx="849">
                  <c:v>33.633300000001313</c:v>
                </c:pt>
                <c:pt idx="850">
                  <c:v>33.633400000001316</c:v>
                </c:pt>
                <c:pt idx="851">
                  <c:v>33.63350000000132</c:v>
                </c:pt>
                <c:pt idx="852">
                  <c:v>33.633600000001323</c:v>
                </c:pt>
                <c:pt idx="853">
                  <c:v>33.633700000001326</c:v>
                </c:pt>
                <c:pt idx="854">
                  <c:v>33.63380000000133</c:v>
                </c:pt>
                <c:pt idx="855">
                  <c:v>33.633900000001333</c:v>
                </c:pt>
                <c:pt idx="856">
                  <c:v>33.634000000001336</c:v>
                </c:pt>
                <c:pt idx="857">
                  <c:v>33.634100000001339</c:v>
                </c:pt>
                <c:pt idx="858">
                  <c:v>33.634200000001343</c:v>
                </c:pt>
                <c:pt idx="859">
                  <c:v>33.634300000001346</c:v>
                </c:pt>
                <c:pt idx="860">
                  <c:v>33.634400000001349</c:v>
                </c:pt>
                <c:pt idx="861">
                  <c:v>33.634500000001353</c:v>
                </c:pt>
                <c:pt idx="862">
                  <c:v>33.634600000001356</c:v>
                </c:pt>
                <c:pt idx="863">
                  <c:v>33.634700000001359</c:v>
                </c:pt>
                <c:pt idx="864">
                  <c:v>33.634800000001363</c:v>
                </c:pt>
                <c:pt idx="865">
                  <c:v>33.634900000001366</c:v>
                </c:pt>
                <c:pt idx="866">
                  <c:v>33.635000000001369</c:v>
                </c:pt>
                <c:pt idx="867">
                  <c:v>33.635100000001373</c:v>
                </c:pt>
                <c:pt idx="868">
                  <c:v>33.635200000001376</c:v>
                </c:pt>
                <c:pt idx="869">
                  <c:v>33.635300000001379</c:v>
                </c:pt>
                <c:pt idx="870">
                  <c:v>33.635400000001383</c:v>
                </c:pt>
                <c:pt idx="871">
                  <c:v>33.635500000001386</c:v>
                </c:pt>
                <c:pt idx="872">
                  <c:v>33.635600000001389</c:v>
                </c:pt>
                <c:pt idx="873">
                  <c:v>33.635700000001393</c:v>
                </c:pt>
                <c:pt idx="874">
                  <c:v>33.635800000001396</c:v>
                </c:pt>
                <c:pt idx="875">
                  <c:v>33.635900000001399</c:v>
                </c:pt>
                <c:pt idx="876">
                  <c:v>33.636000000001403</c:v>
                </c:pt>
                <c:pt idx="877">
                  <c:v>33.636100000001406</c:v>
                </c:pt>
                <c:pt idx="878">
                  <c:v>33.636200000001409</c:v>
                </c:pt>
                <c:pt idx="879">
                  <c:v>33.636300000001413</c:v>
                </c:pt>
                <c:pt idx="880">
                  <c:v>33.636400000001416</c:v>
                </c:pt>
                <c:pt idx="881">
                  <c:v>33.636500000001419</c:v>
                </c:pt>
                <c:pt idx="882">
                  <c:v>33.636600000001422</c:v>
                </c:pt>
                <c:pt idx="883">
                  <c:v>33.636700000001426</c:v>
                </c:pt>
                <c:pt idx="884">
                  <c:v>33.636800000001429</c:v>
                </c:pt>
                <c:pt idx="885">
                  <c:v>33.636900000001432</c:v>
                </c:pt>
                <c:pt idx="886">
                  <c:v>33.637000000001436</c:v>
                </c:pt>
                <c:pt idx="887">
                  <c:v>33.637100000001439</c:v>
                </c:pt>
                <c:pt idx="888">
                  <c:v>33.637200000001442</c:v>
                </c:pt>
                <c:pt idx="889">
                  <c:v>33.637300000001446</c:v>
                </c:pt>
                <c:pt idx="890">
                  <c:v>33.637400000001449</c:v>
                </c:pt>
                <c:pt idx="891">
                  <c:v>33.637500000001452</c:v>
                </c:pt>
                <c:pt idx="892">
                  <c:v>33.637600000001456</c:v>
                </c:pt>
                <c:pt idx="893">
                  <c:v>33.637700000001459</c:v>
                </c:pt>
                <c:pt idx="894">
                  <c:v>33.637800000001462</c:v>
                </c:pt>
                <c:pt idx="895">
                  <c:v>33.637900000001466</c:v>
                </c:pt>
                <c:pt idx="896">
                  <c:v>33.638000000001469</c:v>
                </c:pt>
                <c:pt idx="897">
                  <c:v>33.638100000001472</c:v>
                </c:pt>
                <c:pt idx="898">
                  <c:v>33.638200000001476</c:v>
                </c:pt>
                <c:pt idx="899">
                  <c:v>33.638300000001479</c:v>
                </c:pt>
                <c:pt idx="900">
                  <c:v>33.638400000001482</c:v>
                </c:pt>
                <c:pt idx="901">
                  <c:v>33.638500000001486</c:v>
                </c:pt>
                <c:pt idx="902">
                  <c:v>33.638600000001489</c:v>
                </c:pt>
                <c:pt idx="903">
                  <c:v>33.638700000001492</c:v>
                </c:pt>
                <c:pt idx="904">
                  <c:v>33.638800000001496</c:v>
                </c:pt>
                <c:pt idx="905">
                  <c:v>33.638900000001499</c:v>
                </c:pt>
                <c:pt idx="906">
                  <c:v>33.639000000001502</c:v>
                </c:pt>
                <c:pt idx="907">
                  <c:v>33.639100000001505</c:v>
                </c:pt>
                <c:pt idx="908">
                  <c:v>33.639200000001509</c:v>
                </c:pt>
                <c:pt idx="909">
                  <c:v>33.639300000001512</c:v>
                </c:pt>
                <c:pt idx="910">
                  <c:v>33.639400000001515</c:v>
                </c:pt>
                <c:pt idx="911">
                  <c:v>33.639500000001519</c:v>
                </c:pt>
                <c:pt idx="912">
                  <c:v>33.639600000001522</c:v>
                </c:pt>
                <c:pt idx="913">
                  <c:v>33.639700000001525</c:v>
                </c:pt>
                <c:pt idx="914">
                  <c:v>33.639800000001529</c:v>
                </c:pt>
                <c:pt idx="915">
                  <c:v>33.639900000001532</c:v>
                </c:pt>
                <c:pt idx="916">
                  <c:v>33.640000000001535</c:v>
                </c:pt>
                <c:pt idx="917">
                  <c:v>33.640100000001539</c:v>
                </c:pt>
                <c:pt idx="918">
                  <c:v>33.640200000001542</c:v>
                </c:pt>
                <c:pt idx="919">
                  <c:v>33.640300000001545</c:v>
                </c:pt>
                <c:pt idx="920">
                  <c:v>33.640400000001549</c:v>
                </c:pt>
                <c:pt idx="921">
                  <c:v>33.640500000001552</c:v>
                </c:pt>
                <c:pt idx="922">
                  <c:v>33.640600000001555</c:v>
                </c:pt>
                <c:pt idx="923">
                  <c:v>33.640700000001559</c:v>
                </c:pt>
                <c:pt idx="924">
                  <c:v>33.640800000001562</c:v>
                </c:pt>
                <c:pt idx="925">
                  <c:v>33.640900000001565</c:v>
                </c:pt>
                <c:pt idx="926">
                  <c:v>33.641000000001569</c:v>
                </c:pt>
                <c:pt idx="927">
                  <c:v>33.641100000001572</c:v>
                </c:pt>
                <c:pt idx="928">
                  <c:v>33.641200000001575</c:v>
                </c:pt>
                <c:pt idx="929">
                  <c:v>33.641300000001578</c:v>
                </c:pt>
                <c:pt idx="930">
                  <c:v>33.641400000001582</c:v>
                </c:pt>
                <c:pt idx="931">
                  <c:v>33.641500000001585</c:v>
                </c:pt>
                <c:pt idx="932">
                  <c:v>33.641600000001588</c:v>
                </c:pt>
                <c:pt idx="933">
                  <c:v>33.641700000001592</c:v>
                </c:pt>
                <c:pt idx="934">
                  <c:v>33.641800000001595</c:v>
                </c:pt>
                <c:pt idx="935">
                  <c:v>33.641900000001598</c:v>
                </c:pt>
                <c:pt idx="936">
                  <c:v>33.642000000001602</c:v>
                </c:pt>
                <c:pt idx="937">
                  <c:v>33.642100000001605</c:v>
                </c:pt>
                <c:pt idx="938">
                  <c:v>33.642200000001608</c:v>
                </c:pt>
                <c:pt idx="939">
                  <c:v>33.642300000001612</c:v>
                </c:pt>
                <c:pt idx="940">
                  <c:v>33.642400000001615</c:v>
                </c:pt>
                <c:pt idx="941">
                  <c:v>33.642500000001618</c:v>
                </c:pt>
                <c:pt idx="942">
                  <c:v>33.642600000001622</c:v>
                </c:pt>
                <c:pt idx="943">
                  <c:v>33.642700000001625</c:v>
                </c:pt>
                <c:pt idx="944">
                  <c:v>33.642800000001628</c:v>
                </c:pt>
                <c:pt idx="945">
                  <c:v>33.642900000001632</c:v>
                </c:pt>
                <c:pt idx="946">
                  <c:v>33.643000000001635</c:v>
                </c:pt>
                <c:pt idx="947">
                  <c:v>33.643100000001638</c:v>
                </c:pt>
                <c:pt idx="948">
                  <c:v>33.643200000001642</c:v>
                </c:pt>
                <c:pt idx="949">
                  <c:v>33.643300000001645</c:v>
                </c:pt>
                <c:pt idx="950">
                  <c:v>33.643400000001648</c:v>
                </c:pt>
                <c:pt idx="951">
                  <c:v>33.643500000001652</c:v>
                </c:pt>
                <c:pt idx="952">
                  <c:v>33.643600000001655</c:v>
                </c:pt>
                <c:pt idx="953">
                  <c:v>33.643700000001658</c:v>
                </c:pt>
                <c:pt idx="954">
                  <c:v>33.643800000001661</c:v>
                </c:pt>
                <c:pt idx="955">
                  <c:v>33.643900000001665</c:v>
                </c:pt>
                <c:pt idx="956">
                  <c:v>33.644000000001668</c:v>
                </c:pt>
                <c:pt idx="957">
                  <c:v>33.644100000001671</c:v>
                </c:pt>
                <c:pt idx="958">
                  <c:v>33.644200000001675</c:v>
                </c:pt>
                <c:pt idx="959">
                  <c:v>33.644300000001678</c:v>
                </c:pt>
                <c:pt idx="960">
                  <c:v>33.644400000001681</c:v>
                </c:pt>
                <c:pt idx="961">
                  <c:v>33.644500000001685</c:v>
                </c:pt>
                <c:pt idx="962">
                  <c:v>33.644600000001688</c:v>
                </c:pt>
                <c:pt idx="963">
                  <c:v>33.644700000001691</c:v>
                </c:pt>
                <c:pt idx="964">
                  <c:v>33.644800000001695</c:v>
                </c:pt>
                <c:pt idx="965">
                  <c:v>33.644900000001698</c:v>
                </c:pt>
                <c:pt idx="966">
                  <c:v>33.645000000001701</c:v>
                </c:pt>
                <c:pt idx="967">
                  <c:v>33.645100000001705</c:v>
                </c:pt>
                <c:pt idx="968">
                  <c:v>33.645200000001708</c:v>
                </c:pt>
                <c:pt idx="969">
                  <c:v>33.645300000001711</c:v>
                </c:pt>
                <c:pt idx="970">
                  <c:v>33.645400000001715</c:v>
                </c:pt>
                <c:pt idx="971">
                  <c:v>33.645500000001718</c:v>
                </c:pt>
                <c:pt idx="972">
                  <c:v>33.645600000001721</c:v>
                </c:pt>
                <c:pt idx="973">
                  <c:v>33.645700000001725</c:v>
                </c:pt>
                <c:pt idx="974">
                  <c:v>33.645800000001728</c:v>
                </c:pt>
                <c:pt idx="975">
                  <c:v>33.645900000001731</c:v>
                </c:pt>
                <c:pt idx="976">
                  <c:v>33.646000000001735</c:v>
                </c:pt>
                <c:pt idx="977">
                  <c:v>33.646100000001738</c:v>
                </c:pt>
                <c:pt idx="978">
                  <c:v>33.646200000001741</c:v>
                </c:pt>
                <c:pt idx="979">
                  <c:v>33.646300000001744</c:v>
                </c:pt>
                <c:pt idx="980">
                  <c:v>33.646400000001748</c:v>
                </c:pt>
                <c:pt idx="981">
                  <c:v>33.646500000001751</c:v>
                </c:pt>
                <c:pt idx="982">
                  <c:v>33.646600000001754</c:v>
                </c:pt>
                <c:pt idx="983">
                  <c:v>33.646700000001758</c:v>
                </c:pt>
                <c:pt idx="984">
                  <c:v>33.646800000001761</c:v>
                </c:pt>
                <c:pt idx="985">
                  <c:v>33.646900000001764</c:v>
                </c:pt>
                <c:pt idx="986">
                  <c:v>33.647000000001768</c:v>
                </c:pt>
                <c:pt idx="987">
                  <c:v>33.647100000001771</c:v>
                </c:pt>
                <c:pt idx="988">
                  <c:v>33.647200000001774</c:v>
                </c:pt>
                <c:pt idx="989">
                  <c:v>33.647300000001778</c:v>
                </c:pt>
                <c:pt idx="990">
                  <c:v>33.647400000001781</c:v>
                </c:pt>
                <c:pt idx="991">
                  <c:v>33.647500000001784</c:v>
                </c:pt>
                <c:pt idx="992">
                  <c:v>33.647600000001788</c:v>
                </c:pt>
                <c:pt idx="993">
                  <c:v>33.647700000001791</c:v>
                </c:pt>
                <c:pt idx="994">
                  <c:v>33.647800000001794</c:v>
                </c:pt>
                <c:pt idx="995">
                  <c:v>33.647900000001798</c:v>
                </c:pt>
                <c:pt idx="996">
                  <c:v>33.648000000001801</c:v>
                </c:pt>
                <c:pt idx="997">
                  <c:v>33.648100000001804</c:v>
                </c:pt>
                <c:pt idx="998">
                  <c:v>33.648200000001808</c:v>
                </c:pt>
                <c:pt idx="999">
                  <c:v>33.648300000001811</c:v>
                </c:pt>
                <c:pt idx="1000">
                  <c:v>33.648400000001814</c:v>
                </c:pt>
              </c:numCache>
            </c:numRef>
          </c:xVal>
          <c:yVal>
            <c:numRef>
              <c:f>Calculs!$I$4:$I$1004</c:f>
              <c:numCache>
                <c:formatCode>0.00</c:formatCode>
                <c:ptCount val="1001"/>
                <c:pt idx="0">
                  <c:v>0</c:v>
                </c:pt>
                <c:pt idx="1">
                  <c:v>0.17815119583565234</c:v>
                </c:pt>
                <c:pt idx="2">
                  <c:v>1.1212292799448953</c:v>
                </c:pt>
                <c:pt idx="3">
                  <c:v>2.5304586798724924</c:v>
                </c:pt>
                <c:pt idx="4">
                  <c:v>3.8909865483852619</c:v>
                </c:pt>
                <c:pt idx="5">
                  <c:v>5.2026923623654886</c:v>
                </c:pt>
                <c:pt idx="6">
                  <c:v>6.4952610153850019</c:v>
                </c:pt>
                <c:pt idx="7">
                  <c:v>7.7984593078037276</c:v>
                </c:pt>
                <c:pt idx="8">
                  <c:v>9.1122927177957838</c:v>
                </c:pt>
                <c:pt idx="9">
                  <c:v>10.436766510639652</c:v>
                </c:pt>
                <c:pt idx="10">
                  <c:v>11.771885735093507</c:v>
                </c:pt>
                <c:pt idx="11">
                  <c:v>13.114562033077107</c:v>
                </c:pt>
                <c:pt idx="12">
                  <c:v>14.461698347220377</c:v>
                </c:pt>
                <c:pt idx="13">
                  <c:v>15.813286568164093</c:v>
                </c:pt>
                <c:pt idx="14">
                  <c:v>17.169318431055522</c:v>
                </c:pt>
                <c:pt idx="15">
                  <c:v>18.529785515047312</c:v>
                </c:pt>
                <c:pt idx="16">
                  <c:v>19.894679242807776</c:v>
                </c:pt>
                <c:pt idx="17">
                  <c:v>21.263990880042776</c:v>
                </c:pt>
                <c:pt idx="18">
                  <c:v>22.637711535029283</c:v>
                </c:pt>
                <c:pt idx="19">
                  <c:v>24.015832158160904</c:v>
                </c:pt>
                <c:pt idx="20">
                  <c:v>25.398343541505476</c:v>
                </c:pt>
                <c:pt idx="21">
                  <c:v>26.783994611753368</c:v>
                </c:pt>
                <c:pt idx="22">
                  <c:v>28.171530802393434</c:v>
                </c:pt>
                <c:pt idx="23">
                  <c:v>29.560937622179839</c:v>
                </c:pt>
                <c:pt idx="24">
                  <c:v>30.952200485959626</c:v>
                </c:pt>
                <c:pt idx="25">
                  <c:v>32.345304715177136</c:v>
                </c:pt>
                <c:pt idx="26">
                  <c:v>33.740235538389157</c:v>
                </c:pt>
                <c:pt idx="27">
                  <c:v>35.136982073757387</c:v>
                </c:pt>
                <c:pt idx="28">
                  <c:v>36.535533515547989</c:v>
                </c:pt>
                <c:pt idx="29">
                  <c:v>37.935874549924655</c:v>
                </c:pt>
                <c:pt idx="30">
                  <c:v>39.337989789648518</c:v>
                </c:pt>
                <c:pt idx="31">
                  <c:v>40.741863772874304</c:v>
                </c:pt>
                <c:pt idx="32">
                  <c:v>42.147480962235704</c:v>
                </c:pt>
                <c:pt idx="33">
                  <c:v>43.554825744127569</c:v>
                </c:pt>
                <c:pt idx="34">
                  <c:v>44.963882428156424</c:v>
                </c:pt>
                <c:pt idx="35">
                  <c:v>46.374635246736354</c:v>
                </c:pt>
                <c:pt idx="36">
                  <c:v>47.787068354810735</c:v>
                </c:pt>
                <c:pt idx="37">
                  <c:v>49.20116582968393</c:v>
                </c:pt>
                <c:pt idx="38">
                  <c:v>50.61691167094952</c:v>
                </c:pt>
                <c:pt idx="39">
                  <c:v>52.034289800503686</c:v>
                </c:pt>
                <c:pt idx="40">
                  <c:v>53.45328406263426</c:v>
                </c:pt>
                <c:pt idx="41">
                  <c:v>54.872910742206344</c:v>
                </c:pt>
                <c:pt idx="42">
                  <c:v>56.292183634183054</c:v>
                </c:pt>
                <c:pt idx="43">
                  <c:v>57.711083027170133</c:v>
                </c:pt>
                <c:pt idx="44">
                  <c:v>59.129589202168056</c:v>
                </c:pt>
                <c:pt idx="45">
                  <c:v>60.547682433395181</c:v>
                </c:pt>
                <c:pt idx="46">
                  <c:v>61.96534298914726</c:v>
                </c:pt>
                <c:pt idx="47">
                  <c:v>63.382551132689663</c:v>
                </c:pt>
                <c:pt idx="48">
                  <c:v>64.799287123178772</c:v>
                </c:pt>
                <c:pt idx="49">
                  <c:v>66.215531216609762</c:v>
                </c:pt>
                <c:pt idx="50">
                  <c:v>67.63126366678803</c:v>
                </c:pt>
                <c:pt idx="51">
                  <c:v>69.046464726322014</c:v>
                </c:pt>
                <c:pt idx="52">
                  <c:v>70.461114647635426</c:v>
                </c:pt>
                <c:pt idx="53">
                  <c:v>71.875193683996983</c:v>
                </c:pt>
                <c:pt idx="54">
                  <c:v>73.28868209056597</c:v>
                </c:pt>
                <c:pt idx="55">
                  <c:v>74.701560125452318</c:v>
                </c:pt>
                <c:pt idx="56">
                  <c:v>76.113808050789643</c:v>
                </c:pt>
                <c:pt idx="57">
                  <c:v>77.525406133820368</c:v>
                </c:pt>
                <c:pt idx="58">
                  <c:v>78.936334647991458</c:v>
                </c:pt>
                <c:pt idx="59">
                  <c:v>80.346573874060041</c:v>
                </c:pt>
                <c:pt idx="60">
                  <c:v>81.756104101208024</c:v>
                </c:pt>
                <c:pt idx="61">
                  <c:v>83.164905628164604</c:v>
                </c:pt>
                <c:pt idx="62">
                  <c:v>84.572958764336192</c:v>
                </c:pt>
                <c:pt idx="63">
                  <c:v>85.980243830942953</c:v>
                </c:pt>
                <c:pt idx="64">
                  <c:v>87.386741162161201</c:v>
                </c:pt>
                <c:pt idx="65">
                  <c:v>88.792431106271195</c:v>
                </c:pt>
                <c:pt idx="66">
                  <c:v>90.197294026809701</c:v>
                </c:pt>
                <c:pt idx="67">
                  <c:v>91.601310303726706</c:v>
                </c:pt>
                <c:pt idx="68">
                  <c:v>93.004460334545911</c:v>
                </c:pt>
                <c:pt idx="69">
                  <c:v>94.406724535528596</c:v>
                </c:pt>
                <c:pt idx="70">
                  <c:v>95.80808334284005</c:v>
                </c:pt>
                <c:pt idx="71">
                  <c:v>97.20851721371875</c:v>
                </c:pt>
                <c:pt idx="72">
                  <c:v>98.608006627647143</c:v>
                </c:pt>
                <c:pt idx="73">
                  <c:v>100.00653208752442</c:v>
                </c:pt>
                <c:pt idx="74">
                  <c:v>101.40407412084039</c:v>
                </c:pt>
                <c:pt idx="75">
                  <c:v>102.80061328085026</c:v>
                </c:pt>
                <c:pt idx="76">
                  <c:v>104.19613014775003</c:v>
                </c:pt>
                <c:pt idx="77">
                  <c:v>105.59060532985225</c:v>
                </c:pt>
                <c:pt idx="78">
                  <c:v>106.98401946476164</c:v>
                </c:pt>
                <c:pt idx="79">
                  <c:v>108.37635322055048</c:v>
                </c:pt>
                <c:pt idx="80">
                  <c:v>109.76758729693336</c:v>
                </c:pt>
                <c:pt idx="81">
                  <c:v>111.1567168518948</c:v>
                </c:pt>
                <c:pt idx="82">
                  <c:v>112.5427351662254</c:v>
                </c:pt>
                <c:pt idx="83">
                  <c:v>113.9256207694346</c:v>
                </c:pt>
                <c:pt idx="84">
                  <c:v>115.30535231384758</c:v>
                </c:pt>
                <c:pt idx="85">
                  <c:v>116.6819085758739</c:v>
                </c:pt>
                <c:pt idx="86">
                  <c:v>118.05526845726158</c:v>
                </c:pt>
                <c:pt idx="87">
                  <c:v>119.42541098633669</c:v>
                </c:pt>
                <c:pt idx="88">
                  <c:v>120.792315319228</c:v>
                </c:pt>
                <c:pt idx="89">
                  <c:v>122.15596074107634</c:v>
                </c:pt>
                <c:pt idx="90">
                  <c:v>123.5163266672289</c:v>
                </c:pt>
                <c:pt idx="91">
                  <c:v>124.8729568110721</c:v>
                </c:pt>
                <c:pt idx="92">
                  <c:v>126.22539425410108</c:v>
                </c:pt>
                <c:pt idx="93">
                  <c:v>127.57361796003619</c:v>
                </c:pt>
                <c:pt idx="94">
                  <c:v>128.91760706914161</c:v>
                </c:pt>
                <c:pt idx="95">
                  <c:v>130.25734089929153</c:v>
                </c:pt>
                <c:pt idx="96">
                  <c:v>131.59279894701362</c:v>
                </c:pt>
                <c:pt idx="97">
                  <c:v>132.92396088850893</c:v>
                </c:pt>
                <c:pt idx="98">
                  <c:v>134.2508065806488</c:v>
                </c:pt>
                <c:pt idx="99">
                  <c:v>135.57331606194813</c:v>
                </c:pt>
                <c:pt idx="100">
                  <c:v>136.89146955351515</c:v>
                </c:pt>
                <c:pt idx="101">
                  <c:v>138.20517768936352</c:v>
                </c:pt>
                <c:pt idx="102">
                  <c:v>139.51435117935458</c:v>
                </c:pt>
                <c:pt idx="103">
                  <c:v>140.81897068775055</c:v>
                </c:pt>
                <c:pt idx="104">
                  <c:v>142.11901707178026</c:v>
                </c:pt>
                <c:pt idx="105">
                  <c:v>143.41447138245249</c:v>
                </c:pt>
                <c:pt idx="106">
                  <c:v>144.70531486534398</c:v>
                </c:pt>
                <c:pt idx="107">
                  <c:v>145.99152896136238</c:v>
                </c:pt>
                <c:pt idx="108">
                  <c:v>147.27309530748383</c:v>
                </c:pt>
                <c:pt idx="109">
                  <c:v>148.5499957374652</c:v>
                </c:pt>
                <c:pt idx="110">
                  <c:v>149.82221228253107</c:v>
                </c:pt>
                <c:pt idx="111">
                  <c:v>151.09053115127205</c:v>
                </c:pt>
                <c:pt idx="112">
                  <c:v>152.35573984628834</c:v>
                </c:pt>
                <c:pt idx="113">
                  <c:v>153.61782197565662</c:v>
                </c:pt>
                <c:pt idx="114">
                  <c:v>154.87676127346867</c:v>
                </c:pt>
                <c:pt idx="115">
                  <c:v>156.13254160059446</c:v>
                </c:pt>
                <c:pt idx="116">
                  <c:v>157.38514694542991</c:v>
                </c:pt>
                <c:pt idx="117">
                  <c:v>158.63456142463042</c:v>
                </c:pt>
                <c:pt idx="118">
                  <c:v>159.88076928382907</c:v>
                </c:pt>
                <c:pt idx="119">
                  <c:v>161.12375489834011</c:v>
                </c:pt>
                <c:pt idx="120">
                  <c:v>162.36350277384736</c:v>
                </c:pt>
                <c:pt idx="121">
                  <c:v>163.5986629635199</c:v>
                </c:pt>
                <c:pt idx="122">
                  <c:v>164.82788405684309</c:v>
                </c:pt>
                <c:pt idx="123">
                  <c:v>166.05114975693874</c:v>
                </c:pt>
                <c:pt idx="124">
                  <c:v>167.26844402548835</c:v>
                </c:pt>
                <c:pt idx="125">
                  <c:v>168.47975108284177</c:v>
                </c:pt>
                <c:pt idx="126">
                  <c:v>169.68505540809224</c:v>
                </c:pt>
                <c:pt idx="127">
                  <c:v>170.88434173911847</c:v>
                </c:pt>
                <c:pt idx="128">
                  <c:v>172.07759507259328</c:v>
                </c:pt>
                <c:pt idx="129">
                  <c:v>173.26480066395973</c:v>
                </c:pt>
                <c:pt idx="130">
                  <c:v>174.44594402737425</c:v>
                </c:pt>
                <c:pt idx="131">
                  <c:v>175.62066125990049</c:v>
                </c:pt>
                <c:pt idx="132">
                  <c:v>176.78858837685848</c:v>
                </c:pt>
                <c:pt idx="133">
                  <c:v>177.9497114965782</c:v>
                </c:pt>
                <c:pt idx="134">
                  <c:v>179.10401703090565</c:v>
                </c:pt>
                <c:pt idx="135">
                  <c:v>180.25149168475943</c:v>
                </c:pt>
                <c:pt idx="136">
                  <c:v>181.39212245565071</c:v>
                </c:pt>
                <c:pt idx="137">
                  <c:v>182.52589663316712</c:v>
                </c:pt>
                <c:pt idx="138">
                  <c:v>183.65280179842063</c:v>
                </c:pt>
                <c:pt idx="139">
                  <c:v>184.77282582345944</c:v>
                </c:pt>
                <c:pt idx="140">
                  <c:v>185.88595687064537</c:v>
                </c:pt>
                <c:pt idx="141">
                  <c:v>186.98799922058313</c:v>
                </c:pt>
                <c:pt idx="142">
                  <c:v>188.07475439701525</c:v>
                </c:pt>
                <c:pt idx="143">
                  <c:v>189.14621126245532</c:v>
                </c:pt>
                <c:pt idx="144">
                  <c:v>190.20235948421421</c:v>
                </c:pt>
                <c:pt idx="145">
                  <c:v>191.2431895283402</c:v>
                </c:pt>
                <c:pt idx="146">
                  <c:v>192.26869265344294</c:v>
                </c:pt>
                <c:pt idx="147">
                  <c:v>193.27886090440325</c:v>
                </c:pt>
                <c:pt idx="148">
                  <c:v>194.27368710597204</c:v>
                </c:pt>
                <c:pt idx="149">
                  <c:v>195.25316485626146</c:v>
                </c:pt>
                <c:pt idx="150">
                  <c:v>196.21728852013075</c:v>
                </c:pt>
                <c:pt idx="151">
                  <c:v>197.16605322247034</c:v>
                </c:pt>
                <c:pt idx="152">
                  <c:v>198.09945484138672</c:v>
                </c:pt>
                <c:pt idx="153">
                  <c:v>199.01749000129124</c:v>
                </c:pt>
                <c:pt idx="154">
                  <c:v>199.92015606589555</c:v>
                </c:pt>
                <c:pt idx="155">
                  <c:v>200.80745113111712</c:v>
                </c:pt>
                <c:pt idx="156">
                  <c:v>201.65953849547782</c:v>
                </c:pt>
                <c:pt idx="157">
                  <c:v>202.45658108998552</c:v>
                </c:pt>
                <c:pt idx="158">
                  <c:v>203.19860190606914</c:v>
                </c:pt>
                <c:pt idx="159">
                  <c:v>203.88562954143887</c:v>
                </c:pt>
                <c:pt idx="160">
                  <c:v>204.51769810244596</c:v>
                </c:pt>
                <c:pt idx="161">
                  <c:v>205.06962319720117</c:v>
                </c:pt>
                <c:pt idx="162">
                  <c:v>205.51624366213196</c:v>
                </c:pt>
                <c:pt idx="163">
                  <c:v>205.86007700893751</c:v>
                </c:pt>
                <c:pt idx="164">
                  <c:v>206.10365513569994</c:v>
                </c:pt>
                <c:pt idx="165">
                  <c:v>206.2712148463373</c:v>
                </c:pt>
                <c:pt idx="166">
                  <c:v>206.38697171115737</c:v>
                </c:pt>
                <c:pt idx="167">
                  <c:v>206.43268487323053</c:v>
                </c:pt>
                <c:pt idx="168">
                  <c:v>206.40340415487762</c:v>
                </c:pt>
                <c:pt idx="169">
                  <c:v>206.26142437749013</c:v>
                </c:pt>
                <c:pt idx="170">
                  <c:v>205.99564195114203</c:v>
                </c:pt>
                <c:pt idx="171">
                  <c:v>205.68826580009224</c:v>
                </c:pt>
                <c:pt idx="172">
                  <c:v>205.38156387992123</c:v>
                </c:pt>
                <c:pt idx="173">
                  <c:v>205.0755335502557</c:v>
                </c:pt>
                <c:pt idx="174">
                  <c:v>204.7701721845236</c:v>
                </c:pt>
                <c:pt idx="175">
                  <c:v>204.46547716986359</c:v>
                </c:pt>
                <c:pt idx="176">
                  <c:v>204.1614459070349</c:v>
                </c:pt>
                <c:pt idx="177">
                  <c:v>203.85807581032824</c:v>
                </c:pt>
                <c:pt idx="178">
                  <c:v>203.55536430747716</c:v>
                </c:pt>
                <c:pt idx="179">
                  <c:v>203.25330883957025</c:v>
                </c:pt>
                <c:pt idx="180">
                  <c:v>202.95190686096402</c:v>
                </c:pt>
                <c:pt idx="181">
                  <c:v>202.65115583919641</c:v>
                </c:pt>
                <c:pt idx="182">
                  <c:v>202.35105325490096</c:v>
                </c:pt>
                <c:pt idx="183">
                  <c:v>202.05159660172183</c:v>
                </c:pt>
                <c:pt idx="184">
                  <c:v>201.7527833862292</c:v>
                </c:pt>
                <c:pt idx="185">
                  <c:v>201.45461112783562</c:v>
                </c:pt>
                <c:pt idx="186">
                  <c:v>201.15707735871283</c:v>
                </c:pt>
                <c:pt idx="187">
                  <c:v>200.8601796237092</c:v>
                </c:pt>
                <c:pt idx="188">
                  <c:v>200.56391548026807</c:v>
                </c:pt>
                <c:pt idx="189">
                  <c:v>200.26828249834634</c:v>
                </c:pt>
                <c:pt idx="190">
                  <c:v>199.97327826033413</c:v>
                </c:pt>
                <c:pt idx="191">
                  <c:v>199.67890036097467</c:v>
                </c:pt>
                <c:pt idx="192">
                  <c:v>199.38514640728496</c:v>
                </c:pt>
                <c:pt idx="193">
                  <c:v>199.09201401847727</c:v>
                </c:pt>
                <c:pt idx="194">
                  <c:v>198.79950082588081</c:v>
                </c:pt>
                <c:pt idx="195">
                  <c:v>198.5076044728643</c:v>
                </c:pt>
                <c:pt idx="196">
                  <c:v>198.21632261475912</c:v>
                </c:pt>
                <c:pt idx="197">
                  <c:v>197.92565291878296</c:v>
                </c:pt>
                <c:pt idx="198">
                  <c:v>197.63559306396417</c:v>
                </c:pt>
                <c:pt idx="199">
                  <c:v>197.34614074106651</c:v>
                </c:pt>
                <c:pt idx="200">
                  <c:v>197.05729365251463</c:v>
                </c:pt>
                <c:pt idx="201">
                  <c:v>194.17494278419215</c:v>
                </c:pt>
                <c:pt idx="202">
                  <c:v>191.3521690105004</c:v>
                </c:pt>
                <c:pt idx="203">
                  <c:v>188.5867632088225</c:v>
                </c:pt>
                <c:pt idx="204">
                  <c:v>185.8766245042211</c:v>
                </c:pt>
                <c:pt idx="205">
                  <c:v>183.21975366949053</c:v>
                </c:pt>
                <c:pt idx="206">
                  <c:v>180.61424700609282</c:v>
                </c:pt>
                <c:pt idx="207">
                  <c:v>178.05829066549398</c:v>
                </c:pt>
                <c:pt idx="208">
                  <c:v>175.55015537428258</c:v>
                </c:pt>
                <c:pt idx="209">
                  <c:v>173.0881915299066</c:v>
                </c:pt>
                <c:pt idx="210">
                  <c:v>170.67082463695704</c:v>
                </c:pt>
                <c:pt idx="211">
                  <c:v>168.29655105669644</c:v>
                </c:pt>
                <c:pt idx="212">
                  <c:v>165.96393404501717</c:v>
                </c:pt>
                <c:pt idx="213">
                  <c:v>163.67160005624856</c:v>
                </c:pt>
                <c:pt idx="214">
                  <c:v>161.41823529224186</c:v>
                </c:pt>
                <c:pt idx="215">
                  <c:v>159.20258247797301</c:v>
                </c:pt>
                <c:pt idx="216">
                  <c:v>157.02343784653766</c:v>
                </c:pt>
                <c:pt idx="217">
                  <c:v>154.87964831788645</c:v>
                </c:pt>
                <c:pt idx="218">
                  <c:v>152.77010885698459</c:v>
                </c:pt>
                <c:pt idx="219">
                  <c:v>150.69375999828557</c:v>
                </c:pt>
                <c:pt idx="220">
                  <c:v>148.64958552450469</c:v>
                </c:pt>
                <c:pt idx="221">
                  <c:v>146.63661028867045</c:v>
                </c:pt>
                <c:pt idx="222">
                  <c:v>144.65389816933342</c:v>
                </c:pt>
                <c:pt idx="223">
                  <c:v>142.70055014963384</c:v>
                </c:pt>
                <c:pt idx="224">
                  <c:v>140.77570251167441</c:v>
                </c:pt>
                <c:pt idx="225">
                  <c:v>138.87852513832593</c:v>
                </c:pt>
                <c:pt idx="226">
                  <c:v>137.00821991521414</c:v>
                </c:pt>
                <c:pt idx="227">
                  <c:v>135.16401922620278</c:v>
                </c:pt>
                <c:pt idx="228">
                  <c:v>133.34518453620615</c:v>
                </c:pt>
                <c:pt idx="229">
                  <c:v>131.55100505563911</c:v>
                </c:pt>
                <c:pt idx="230">
                  <c:v>129.78079648124628</c:v>
                </c:pt>
                <c:pt idx="231">
                  <c:v>128.03389980845094</c:v>
                </c:pt>
                <c:pt idx="232">
                  <c:v>126.30968021073053</c:v>
                </c:pt>
                <c:pt idx="233">
                  <c:v>124.60752598186066</c:v>
                </c:pt>
                <c:pt idx="234">
                  <c:v>122.9268475371798</c:v>
                </c:pt>
                <c:pt idx="235">
                  <c:v>121.26707647031165</c:v>
                </c:pt>
                <c:pt idx="236">
                  <c:v>119.62766466204472</c:v>
                </c:pt>
                <c:pt idx="237">
                  <c:v>118.00808343831126</c:v>
                </c:pt>
                <c:pt idx="238">
                  <c:v>116.40782277443246</c:v>
                </c:pt>
                <c:pt idx="239">
                  <c:v>114.82639054300434</c:v>
                </c:pt>
                <c:pt idx="240">
                  <c:v>113.26331180299093</c:v>
                </c:pt>
                <c:pt idx="241">
                  <c:v>111.71812812777104</c:v>
                </c:pt>
                <c:pt idx="242">
                  <c:v>110.1903969700504</c:v>
                </c:pt>
                <c:pt idx="243">
                  <c:v>108.67969106170632</c:v>
                </c:pt>
                <c:pt idx="244">
                  <c:v>107.18559784677694</c:v>
                </c:pt>
                <c:pt idx="245">
                  <c:v>105.70771894594186</c:v>
                </c:pt>
                <c:pt idx="246">
                  <c:v>104.24566965096851</c:v>
                </c:pt>
                <c:pt idx="247">
                  <c:v>102.79907844771739</c:v>
                </c:pt>
                <c:pt idx="248">
                  <c:v>101.3675865664123</c:v>
                </c:pt>
                <c:pt idx="249">
                  <c:v>99.950847557987331</c:v>
                </c:pt>
                <c:pt idx="250">
                  <c:v>98.548526895423834</c:v>
                </c:pt>
                <c:pt idx="251">
                  <c:v>97.160301599086253</c:v>
                </c:pt>
                <c:pt idx="252">
                  <c:v>95.78585988515762</c:v>
                </c:pt>
                <c:pt idx="253">
                  <c:v>94.424900836363136</c:v>
                </c:pt>
                <c:pt idx="254">
                  <c:v>93.077134094255996</c:v>
                </c:pt>
                <c:pt idx="255">
                  <c:v>91.742279572421097</c:v>
                </c:pt>
                <c:pt idx="256">
                  <c:v>90.42006719003264</c:v>
                </c:pt>
                <c:pt idx="257">
                  <c:v>89.110236625280464</c:v>
                </c:pt>
                <c:pt idx="258">
                  <c:v>87.812537088257145</c:v>
                </c:pt>
                <c:pt idx="259">
                  <c:v>86.526727112974115</c:v>
                </c:pt>
                <c:pt idx="260">
                  <c:v>85.252574368252738</c:v>
                </c:pt>
                <c:pt idx="261">
                  <c:v>83.989855487311857</c:v>
                </c:pt>
                <c:pt idx="262">
                  <c:v>82.738355915952042</c:v>
                </c:pt>
                <c:pt idx="263">
                  <c:v>81.497869779315039</c:v>
                </c:pt>
                <c:pt idx="264">
                  <c:v>80.268199767278389</c:v>
                </c:pt>
                <c:pt idx="265">
                  <c:v>79.049157038627925</c:v>
                </c:pt>
                <c:pt idx="266">
                  <c:v>77.840561144237441</c:v>
                </c:pt>
                <c:pt idx="267">
                  <c:v>76.642239969574575</c:v>
                </c:pt>
                <c:pt idx="268">
                  <c:v>75.454029696945895</c:v>
                </c:pt>
                <c:pt idx="269">
                  <c:v>74.275774787993029</c:v>
                </c:pt>
                <c:pt idx="270">
                  <c:v>73.107327987056394</c:v>
                </c:pt>
                <c:pt idx="271">
                  <c:v>71.94855034613343</c:v>
                </c:pt>
                <c:pt idx="272">
                  <c:v>70.799311272276555</c:v>
                </c:pt>
                <c:pt idx="273">
                  <c:v>69.659488598401225</c:v>
                </c:pt>
                <c:pt idx="274">
                  <c:v>68.528968678609473</c:v>
                </c:pt>
                <c:pt idx="275">
                  <c:v>67.407646509278365</c:v>
                </c:pt>
                <c:pt idx="276">
                  <c:v>66.295425877317143</c:v>
                </c:pt>
                <c:pt idx="277">
                  <c:v>65.192219537163552</c:v>
                </c:pt>
                <c:pt idx="278">
                  <c:v>64.097949418268371</c:v>
                </c:pt>
                <c:pt idx="279">
                  <c:v>63.012546865009263</c:v>
                </c:pt>
                <c:pt idx="280">
                  <c:v>61.935952911181928</c:v>
                </c:pt>
                <c:pt idx="281">
                  <c:v>60.868118591437735</c:v>
                </c:pt>
                <c:pt idx="282">
                  <c:v>59.809005292275145</c:v>
                </c:pt>
                <c:pt idx="283">
                  <c:v>58.758585145446197</c:v>
                </c:pt>
                <c:pt idx="284">
                  <c:v>57.716841466910047</c:v>
                </c:pt>
                <c:pt idx="285">
                  <c:v>56.683769244753456</c:v>
                </c:pt>
                <c:pt idx="286">
                  <c:v>55.659375679801599</c:v>
                </c:pt>
                <c:pt idx="287">
                  <c:v>54.643680782961155</c:v>
                </c:pt>
                <c:pt idx="288">
                  <c:v>53.636718033669005</c:v>
                </c:pt>
                <c:pt idx="289">
                  <c:v>52.638535104160638</c:v>
                </c:pt>
                <c:pt idx="290">
                  <c:v>51.649194654617254</c:v>
                </c:pt>
                <c:pt idx="291">
                  <c:v>50.668775204594354</c:v>
                </c:pt>
                <c:pt idx="292">
                  <c:v>49.697372086465286</c:v>
                </c:pt>
                <c:pt idx="293">
                  <c:v>48.735098486921615</c:v>
                </c:pt>
                <c:pt idx="294">
                  <c:v>47.782086582838851</c:v>
                </c:pt>
                <c:pt idx="295">
                  <c:v>46.838488778021414</c:v>
                </c:pt>
                <c:pt idx="296">
                  <c:v>45.904479047456448</c:v>
                </c:pt>
                <c:pt idx="297">
                  <c:v>44.980254395696349</c:v>
                </c:pt>
                <c:pt idx="298">
                  <c:v>44.066036435810553</c:v>
                </c:pt>
                <c:pt idx="299">
                  <c:v>43.162073094941398</c:v>
                </c:pt>
                <c:pt idx="300">
                  <c:v>42.26864045179623</c:v>
                </c:pt>
                <c:pt idx="301">
                  <c:v>41.386044710322636</c:v>
                </c:pt>
                <c:pt idx="302">
                  <c:v>40.514624312238517</c:v>
                </c:pt>
                <c:pt idx="303">
                  <c:v>39.654752188895934</c:v>
                </c:pt>
                <c:pt idx="304">
                  <c:v>38.806838149993389</c:v>
                </c:pt>
                <c:pt idx="305">
                  <c:v>37.971331402733334</c:v>
                </c:pt>
                <c:pt idx="306">
                  <c:v>37.14872318993919</c:v>
                </c:pt>
                <c:pt idx="307">
                  <c:v>36.339549529158333</c:v>
                </c:pt>
                <c:pt idx="308">
                  <c:v>35.544394026616175</c:v>
                </c:pt>
                <c:pt idx="309">
                  <c:v>34.763890729764235</c:v>
                </c:pt>
                <c:pt idx="310">
                  <c:v>33.998726969787569</c:v>
                </c:pt>
                <c:pt idx="311">
                  <c:v>33.249646130523864</c:v>
                </c:pt>
                <c:pt idx="312">
                  <c:v>32.517450262566676</c:v>
                </c:pt>
                <c:pt idx="313">
                  <c:v>31.803002440743739</c:v>
                </c:pt>
                <c:pt idx="314">
                  <c:v>31.10722873970553</c:v>
                </c:pt>
                <c:pt idx="315">
                  <c:v>30.431119676310722</c:v>
                </c:pt>
                <c:pt idx="316">
                  <c:v>29.775730939495656</c:v>
                </c:pt>
                <c:pt idx="317">
                  <c:v>29.142183199502025</c:v>
                </c:pt>
                <c:pt idx="318">
                  <c:v>28.531660760486897</c:v>
                </c:pt>
                <c:pt idx="319">
                  <c:v>27.945408796205619</c:v>
                </c:pt>
                <c:pt idx="320">
                  <c:v>27.384728891084915</c:v>
                </c:pt>
                <c:pt idx="321">
                  <c:v>26.85097260295607</c:v>
                </c:pt>
                <c:pt idx="322">
                  <c:v>26.345532774190005</c:v>
                </c:pt>
                <c:pt idx="323">
                  <c:v>25.86983235069598</c:v>
                </c:pt>
                <c:pt idx="324">
                  <c:v>25.425310528917688</c:v>
                </c:pt>
                <c:pt idx="325">
                  <c:v>25.013406144397425</c:v>
                </c:pt>
                <c:pt idx="326">
                  <c:v>24.635538344421526</c:v>
                </c:pt>
                <c:pt idx="327">
                  <c:v>24.293084750983127</c:v>
                </c:pt>
                <c:pt idx="328">
                  <c:v>23.987357513196834</c:v>
                </c:pt>
                <c:pt idx="329">
                  <c:v>23.719577858801646</c:v>
                </c:pt>
                <c:pt idx="330">
                  <c:v>23.490849964612249</c:v>
                </c:pt>
                <c:pt idx="331">
                  <c:v>23.302135152384899</c:v>
                </c:pt>
                <c:pt idx="332">
                  <c:v>23.154227553089179</c:v>
                </c:pt>
                <c:pt idx="333">
                  <c:v>23.047732443237795</c:v>
                </c:pt>
                <c:pt idx="334">
                  <c:v>22.983048421418513</c:v>
                </c:pt>
                <c:pt idx="335">
                  <c:v>22.960354451519091</c:v>
                </c:pt>
                <c:pt idx="336">
                  <c:v>22.979602555347913</c:v>
                </c:pt>
                <c:pt idx="337">
                  <c:v>23.040516610686069</c:v>
                </c:pt>
                <c:pt idx="338">
                  <c:v>23.14259733390637</c:v>
                </c:pt>
                <c:pt idx="339">
                  <c:v>23.285133140311785</c:v>
                </c:pt>
                <c:pt idx="340">
                  <c:v>23.467216223021779</c:v>
                </c:pt>
                <c:pt idx="341">
                  <c:v>23.687762909598515</c:v>
                </c:pt>
                <c:pt idx="342">
                  <c:v>23.945537170035983</c:v>
                </c:pt>
                <c:pt idx="343">
                  <c:v>24.239176070737557</c:v>
                </c:pt>
                <c:pt idx="344">
                  <c:v>24.567215992271674</c:v>
                </c:pt>
                <c:pt idx="345">
                  <c:v>24.928118537464496</c:v>
                </c:pt>
                <c:pt idx="346">
                  <c:v>25.320295226571311</c:v>
                </c:pt>
                <c:pt idx="347">
                  <c:v>25.742130281021186</c:v>
                </c:pt>
                <c:pt idx="348">
                  <c:v>26.19200101139198</c:v>
                </c:pt>
                <c:pt idx="349">
                  <c:v>26.668295528373726</c:v>
                </c:pt>
                <c:pt idx="350">
                  <c:v>27.169427673204467</c:v>
                </c:pt>
                <c:pt idx="351">
                  <c:v>27.693849208374655</c:v>
                </c:pt>
                <c:pt idx="352">
                  <c:v>28.240059417695296</c:v>
                </c:pt>
                <c:pt idx="353">
                  <c:v>28.806612338616514</c:v>
                </c:pt>
                <c:pt idx="354">
                  <c:v>29.392121893130827</c:v>
                </c:pt>
                <c:pt idx="355">
                  <c:v>29.995265202219503</c:v>
                </c:pt>
                <c:pt idx="356">
                  <c:v>30.614784368467554</c:v>
                </c:pt>
                <c:pt idx="357">
                  <c:v>31.249486997703642</c:v>
                </c:pt>
                <c:pt idx="358">
                  <c:v>31.89824570809057</c:v>
                </c:pt>
                <c:pt idx="359">
                  <c:v>32.559996847859779</c:v>
                </c:pt>
                <c:pt idx="360">
                  <c:v>33.233738613782997</c:v>
                </c:pt>
                <c:pt idx="361">
                  <c:v>33.918528733599125</c:v>
                </c:pt>
                <c:pt idx="362">
                  <c:v>34.613481848351974</c:v>
                </c:pt>
                <c:pt idx="363">
                  <c:v>35.317766705773444</c:v>
                </c:pt>
                <c:pt idx="364">
                  <c:v>36.030603253876897</c:v>
                </c:pt>
                <c:pt idx="365">
                  <c:v>36.751259704920678</c:v>
                </c:pt>
                <c:pt idx="366">
                  <c:v>37.479049623776781</c:v>
                </c:pt>
                <c:pt idx="367">
                  <c:v>38.213329081288485</c:v>
                </c:pt>
                <c:pt idx="368">
                  <c:v>38.95349390215091</c:v>
                </c:pt>
                <c:pt idx="369">
                  <c:v>39.698977027902792</c:v>
                </c:pt>
                <c:pt idx="370">
                  <c:v>40.449246008476784</c:v>
                </c:pt>
                <c:pt idx="371">
                  <c:v>41.203800630139192</c:v>
                </c:pt>
                <c:pt idx="372">
                  <c:v>41.962170683301032</c:v>
                </c:pt>
                <c:pt idx="373">
                  <c:v>42.723913870374624</c:v>
                </c:pt>
                <c:pt idx="374">
                  <c:v>43.488613851387562</c:v>
                </c:pt>
                <c:pt idx="375">
                  <c:v>44.255878423282105</c:v>
                </c:pt>
                <c:pt idx="376">
                  <c:v>45.025337827582902</c:v>
                </c:pt>
                <c:pt idx="377">
                  <c:v>45.796643180294168</c:v>
                </c:pt>
                <c:pt idx="378">
                  <c:v>46.569465017393568</c:v>
                </c:pt>
                <c:pt idx="379">
                  <c:v>47.343491949047511</c:v>
                </c:pt>
                <c:pt idx="380">
                  <c:v>48.118429415619168</c:v>
                </c:pt>
                <c:pt idx="381">
                  <c:v>48.893998538627173</c:v>
                </c:pt>
                <c:pt idx="382">
                  <c:v>49.669935060000093</c:v>
                </c:pt>
                <c:pt idx="383">
                  <c:v>50.445988363229112</c:v>
                </c:pt>
                <c:pt idx="384">
                  <c:v>51.221920570325324</c:v>
                </c:pt>
                <c:pt idx="385">
                  <c:v>51.99750570881951</c:v>
                </c:pt>
                <c:pt idx="386">
                  <c:v>52.772528943388707</c:v>
                </c:pt>
                <c:pt idx="387">
                  <c:v>53.546785867043369</c:v>
                </c:pt>
                <c:pt idx="388">
                  <c:v>54.320081847155144</c:v>
                </c:pt>
                <c:pt idx="389">
                  <c:v>55.092231421942131</c:v>
                </c:pt>
                <c:pt idx="390">
                  <c:v>55.863057743352215</c:v>
                </c:pt>
                <c:pt idx="391">
                  <c:v>56.632392062593325</c:v>
                </c:pt>
                <c:pt idx="392">
                  <c:v>57.400073254850732</c:v>
                </c:pt>
                <c:pt idx="393">
                  <c:v>58.165947380004994</c:v>
                </c:pt>
                <c:pt idx="394">
                  <c:v>58.929867276419564</c:v>
                </c:pt>
                <c:pt idx="395">
                  <c:v>59.69169218510482</c:v>
                </c:pt>
                <c:pt idx="396">
                  <c:v>60.451287401785564</c:v>
                </c:pt>
                <c:pt idx="397">
                  <c:v>61.208523954603024</c:v>
                </c:pt>
                <c:pt idx="398">
                  <c:v>61.963278305370039</c:v>
                </c:pt>
                <c:pt idx="399">
                  <c:v>62.71543207247155</c:v>
                </c:pt>
                <c:pt idx="400">
                  <c:v>63.464871773661208</c:v>
                </c:pt>
                <c:pt idx="401">
                  <c:v>64.211488587151337</c:v>
                </c:pt>
                <c:pt idx="402">
                  <c:v>64.955178129527141</c:v>
                </c:pt>
                <c:pt idx="403">
                  <c:v>65.695840249138854</c:v>
                </c:pt>
                <c:pt idx="404">
                  <c:v>66.433378833738047</c:v>
                </c:pt>
                <c:pt idx="405">
                  <c:v>67.167701631226947</c:v>
                </c:pt>
                <c:pt idx="406">
                  <c:v>67.898720082483933</c:v>
                </c:pt>
                <c:pt idx="407">
                  <c:v>68.626349165313968</c:v>
                </c:pt>
                <c:pt idx="408">
                  <c:v>69.350507248652463</c:v>
                </c:pt>
                <c:pt idx="409">
                  <c:v>70.071115956221519</c:v>
                </c:pt>
                <c:pt idx="410">
                  <c:v>70.788100038904943</c:v>
                </c:pt>
                <c:pt idx="411">
                  <c:v>71.501387255167074</c:v>
                </c:pt>
                <c:pt idx="412">
                  <c:v>72.210908258896879</c:v>
                </c:pt>
                <c:pt idx="413">
                  <c:v>72.916596494108049</c:v>
                </c:pt>
                <c:pt idx="414">
                  <c:v>73.618388095972463</c:v>
                </c:pt>
                <c:pt idx="415">
                  <c:v>74.316221797706604</c:v>
                </c:pt>
                <c:pt idx="416">
                  <c:v>75.010038842868596</c:v>
                </c:pt>
                <c:pt idx="417">
                  <c:v>75.69978290265945</c:v>
                </c:pt>
                <c:pt idx="418">
                  <c:v>76.385399997854208</c:v>
                </c:pt>
                <c:pt idx="419">
                  <c:v>77.066838425018531</c:v>
                </c:pt>
                <c:pt idx="420">
                  <c:v>77.744048686692977</c:v>
                </c:pt>
                <c:pt idx="421">
                  <c:v>78.416983425253093</c:v>
                </c:pt>
                <c:pt idx="422">
                  <c:v>79.085597360175498</c:v>
                </c:pt>
                <c:pt idx="423">
                  <c:v>79.749847228461505</c:v>
                </c:pt>
                <c:pt idx="424">
                  <c:v>80.409691727989212</c:v>
                </c:pt>
                <c:pt idx="425">
                  <c:v>81.065091463582746</c:v>
                </c:pt>
                <c:pt idx="426">
                  <c:v>81.716008895603196</c:v>
                </c:pt>
                <c:pt idx="427">
                  <c:v>82.36240829088166</c:v>
                </c:pt>
                <c:pt idx="428">
                  <c:v>83.004255675827537</c:v>
                </c:pt>
                <c:pt idx="429">
                  <c:v>83.641518791558951</c:v>
                </c:pt>
                <c:pt idx="430">
                  <c:v>84.274167050913178</c:v>
                </c:pt>
                <c:pt idx="431">
                  <c:v>84.902171497205899</c:v>
                </c:pt>
                <c:pt idx="432">
                  <c:v>85.525504764618319</c:v>
                </c:pt>
                <c:pt idx="433">
                  <c:v>86.144141040100038</c:v>
                </c:pt>
                <c:pt idx="434">
                  <c:v>86.758056026683931</c:v>
                </c:pt>
                <c:pt idx="435">
                  <c:v>87.367226908117686</c:v>
                </c:pt>
                <c:pt idx="436">
                  <c:v>87.971632314722982</c:v>
                </c:pt>
                <c:pt idx="437">
                  <c:v>88.571252290400849</c:v>
                </c:pt>
                <c:pt idx="438">
                  <c:v>89.166068260707021</c:v>
                </c:pt>
                <c:pt idx="439">
                  <c:v>89.7560630019276</c:v>
                </c:pt>
                <c:pt idx="440">
                  <c:v>90.341220611090009</c:v>
                </c:pt>
                <c:pt idx="441">
                  <c:v>90.921526476849351</c:v>
                </c:pt>
                <c:pt idx="442">
                  <c:v>91.496967251194576</c:v>
                </c:pt>
                <c:pt idx="443">
                  <c:v>92.067530821923469</c:v>
                </c:pt>
                <c:pt idx="444">
                  <c:v>92.633206285838796</c:v>
                </c:pt>
                <c:pt idx="445">
                  <c:v>93.193983922621683</c:v>
                </c:pt>
                <c:pt idx="446">
                  <c:v>93.749855169341984</c:v>
                </c:pt>
                <c:pt idx="447">
                  <c:v>94.300812595567848</c:v>
                </c:pt>
                <c:pt idx="448">
                  <c:v>94.846849879039894</c:v>
                </c:pt>
                <c:pt idx="449">
                  <c:v>95.387961781878204</c:v>
                </c:pt>
                <c:pt idx="450">
                  <c:v>95.924144127292195</c:v>
                </c:pt>
                <c:pt idx="451">
                  <c:v>96.455393776766456</c:v>
                </c:pt>
                <c:pt idx="452">
                  <c:v>96.981708607696831</c:v>
                </c:pt>
                <c:pt idx="453">
                  <c:v>97.50308749145411</c:v>
                </c:pt>
                <c:pt idx="454">
                  <c:v>98.01953027185327</c:v>
                </c:pt>
                <c:pt idx="455">
                  <c:v>98.531037744008884</c:v>
                </c:pt>
                <c:pt idx="456">
                  <c:v>99.037611633558171</c:v>
                </c:pt>
                <c:pt idx="457">
                  <c:v>99.539254576235194</c:v>
                </c:pt>
                <c:pt idx="458">
                  <c:v>100.03597009778036</c:v>
                </c:pt>
                <c:pt idx="459">
                  <c:v>100.52776259417142</c:v>
                </c:pt>
                <c:pt idx="460">
                  <c:v>101.01463731216236</c:v>
                </c:pt>
                <c:pt idx="461">
                  <c:v>101.4966003301188</c:v>
                </c:pt>
                <c:pt idx="462">
                  <c:v>101.97365853913817</c:v>
                </c:pt>
                <c:pt idx="463">
                  <c:v>102.44581962444516</c:v>
                </c:pt>
                <c:pt idx="464">
                  <c:v>102.91309204705269</c:v>
                </c:pt>
                <c:pt idx="465">
                  <c:v>103.37548502568011</c:v>
                </c:pt>
                <c:pt idx="466">
                  <c:v>103.83300851892093</c:v>
                </c:pt>
                <c:pt idx="467">
                  <c:v>104.28567320765261</c:v>
                </c:pt>
                <c:pt idx="468">
                  <c:v>104.73349047768234</c:v>
                </c:pt>
                <c:pt idx="469">
                  <c:v>105.17647240262255</c:v>
                </c:pt>
                <c:pt idx="470">
                  <c:v>105.61463172699096</c:v>
                </c:pt>
                <c:pt idx="471">
                  <c:v>106.04798184953002</c:v>
                </c:pt>
                <c:pt idx="472">
                  <c:v>106.47653680674141</c:v>
                </c:pt>
                <c:pt idx="473">
                  <c:v>106.90031125663157</c:v>
                </c:pt>
                <c:pt idx="474">
                  <c:v>107.31932046266444</c:v>
                </c:pt>
                <c:pt idx="475">
                  <c:v>107.73358027791801</c:v>
                </c:pt>
                <c:pt idx="476">
                  <c:v>108.14310712944189</c:v>
                </c:pt>
                <c:pt idx="477">
                  <c:v>108.54791800281288</c:v>
                </c:pt>
                <c:pt idx="478">
                  <c:v>108.94803042688615</c:v>
                </c:pt>
                <c:pt idx="479">
                  <c:v>109.34346245873992</c:v>
                </c:pt>
                <c:pt idx="480">
                  <c:v>109.73423266881137</c:v>
                </c:pt>
                <c:pt idx="481">
                  <c:v>110.12036012622218</c:v>
                </c:pt>
                <c:pt idx="482">
                  <c:v>110.50186438429176</c:v>
                </c:pt>
                <c:pt idx="483">
                  <c:v>110.87876546623717</c:v>
                </c:pt>
                <c:pt idx="484">
                  <c:v>111.25108385105773</c:v>
                </c:pt>
                <c:pt idx="485">
                  <c:v>111.61884045960369</c:v>
                </c:pt>
                <c:pt idx="486">
                  <c:v>111.98205664082765</c:v>
                </c:pt>
                <c:pt idx="487">
                  <c:v>112.34075415821748</c:v>
                </c:pt>
                <c:pt idx="488">
                  <c:v>112.69495517641032</c:v>
                </c:pt>
                <c:pt idx="489">
                  <c:v>113.04468224798649</c:v>
                </c:pt>
                <c:pt idx="490">
                  <c:v>113.38995830044254</c:v>
                </c:pt>
                <c:pt idx="491">
                  <c:v>113.73080662334316</c:v>
                </c:pt>
                <c:pt idx="492">
                  <c:v>114.06725085565049</c:v>
                </c:pt>
                <c:pt idx="493">
                  <c:v>114.39931497323131</c:v>
                </c:pt>
                <c:pt idx="494">
                  <c:v>114.72702327654048</c:v>
                </c:pt>
                <c:pt idx="495">
                  <c:v>115.0504003784808</c:v>
                </c:pt>
                <c:pt idx="496">
                  <c:v>115.36947119243845</c:v>
                </c:pt>
                <c:pt idx="497">
                  <c:v>115.68426092049361</c:v>
                </c:pt>
                <c:pt idx="498">
                  <c:v>115.99479504180566</c:v>
                </c:pt>
                <c:pt idx="499">
                  <c:v>116.30109930117258</c:v>
                </c:pt>
                <c:pt idx="500">
                  <c:v>116.60319969776397</c:v>
                </c:pt>
                <c:pt idx="501">
                  <c:v>116.90112247402715</c:v>
                </c:pt>
                <c:pt idx="502">
                  <c:v>117.19489410476606</c:v>
                </c:pt>
                <c:pt idx="503">
                  <c:v>117.48454128639212</c:v>
                </c:pt>
                <c:pt idx="504">
                  <c:v>117.7700909263466</c:v>
                </c:pt>
                <c:pt idx="505">
                  <c:v>118.0515701326942</c:v>
                </c:pt>
                <c:pt idx="506">
                  <c:v>118.32900620388693</c:v>
                </c:pt>
                <c:pt idx="507">
                  <c:v>118.60242661869786</c:v>
                </c:pt>
                <c:pt idx="508">
                  <c:v>118.87185902632407</c:v>
                </c:pt>
                <c:pt idx="509">
                  <c:v>119.13733123665811</c:v>
                </c:pt>
                <c:pt idx="510">
                  <c:v>119.39887121072749</c:v>
                </c:pt>
                <c:pt idx="511">
                  <c:v>119.65650705130116</c:v>
                </c:pt>
                <c:pt idx="512">
                  <c:v>119.91026699366263</c:v>
                </c:pt>
                <c:pt idx="513">
                  <c:v>120.16017939654857</c:v>
                </c:pt>
                <c:pt idx="514">
                  <c:v>120.40627273325246</c:v>
                </c:pt>
                <c:pt idx="515">
                  <c:v>120.64857558289211</c:v>
                </c:pt>
                <c:pt idx="516">
                  <c:v>120.88711662184053</c:v>
                </c:pt>
                <c:pt idx="517">
                  <c:v>120.8873513914092</c:v>
                </c:pt>
                <c:pt idx="518">
                  <c:v>120.887586157283</c:v>
                </c:pt>
                <c:pt idx="519">
                  <c:v>120.88782091946193</c:v>
                </c:pt>
                <c:pt idx="520">
                  <c:v>120.88805567794603</c:v>
                </c:pt>
                <c:pt idx="521">
                  <c:v>120.88829043273535</c:v>
                </c:pt>
                <c:pt idx="522">
                  <c:v>120.88852518382993</c:v>
                </c:pt>
                <c:pt idx="523">
                  <c:v>120.88875993122974</c:v>
                </c:pt>
                <c:pt idx="524">
                  <c:v>120.88899467493486</c:v>
                </c:pt>
                <c:pt idx="525">
                  <c:v>120.88922941494529</c:v>
                </c:pt>
                <c:pt idx="526">
                  <c:v>120.88946415126109</c:v>
                </c:pt>
                <c:pt idx="527">
                  <c:v>120.88969888388226</c:v>
                </c:pt>
                <c:pt idx="528">
                  <c:v>120.88993361280885</c:v>
                </c:pt>
                <c:pt idx="529">
                  <c:v>120.89016833804085</c:v>
                </c:pt>
                <c:pt idx="530">
                  <c:v>120.89040305957833</c:v>
                </c:pt>
                <c:pt idx="531">
                  <c:v>120.89063777742132</c:v>
                </c:pt>
                <c:pt idx="532">
                  <c:v>120.89087249156982</c:v>
                </c:pt>
                <c:pt idx="533">
                  <c:v>120.89110720202387</c:v>
                </c:pt>
                <c:pt idx="534">
                  <c:v>120.8913419087835</c:v>
                </c:pt>
                <c:pt idx="535">
                  <c:v>120.89157661184875</c:v>
                </c:pt>
                <c:pt idx="536">
                  <c:v>120.89181131121963</c:v>
                </c:pt>
                <c:pt idx="537">
                  <c:v>120.89204600689617</c:v>
                </c:pt>
                <c:pt idx="538">
                  <c:v>120.89228069887839</c:v>
                </c:pt>
                <c:pt idx="539">
                  <c:v>120.89251538716636</c:v>
                </c:pt>
                <c:pt idx="540">
                  <c:v>120.89275007176005</c:v>
                </c:pt>
                <c:pt idx="541">
                  <c:v>120.89298475265953</c:v>
                </c:pt>
                <c:pt idx="542">
                  <c:v>120.89321942986481</c:v>
                </c:pt>
                <c:pt idx="543">
                  <c:v>120.89345410337594</c:v>
                </c:pt>
                <c:pt idx="544">
                  <c:v>120.89368877319293</c:v>
                </c:pt>
                <c:pt idx="545">
                  <c:v>120.89392343931584</c:v>
                </c:pt>
                <c:pt idx="546">
                  <c:v>120.89415810174464</c:v>
                </c:pt>
                <c:pt idx="547">
                  <c:v>120.89439276047939</c:v>
                </c:pt>
                <c:pt idx="548">
                  <c:v>120.89462741552013</c:v>
                </c:pt>
                <c:pt idx="549">
                  <c:v>120.89486206686688</c:v>
                </c:pt>
                <c:pt idx="550">
                  <c:v>120.89509671451965</c:v>
                </c:pt>
                <c:pt idx="551">
                  <c:v>120.8953313584785</c:v>
                </c:pt>
                <c:pt idx="552">
                  <c:v>120.89556599874344</c:v>
                </c:pt>
                <c:pt idx="553">
                  <c:v>120.89580063531449</c:v>
                </c:pt>
                <c:pt idx="554">
                  <c:v>120.89603526819171</c:v>
                </c:pt>
                <c:pt idx="555">
                  <c:v>120.89626989737509</c:v>
                </c:pt>
                <c:pt idx="556">
                  <c:v>120.89650452286469</c:v>
                </c:pt>
                <c:pt idx="557">
                  <c:v>120.8967391446605</c:v>
                </c:pt>
                <c:pt idx="558">
                  <c:v>120.8969737627626</c:v>
                </c:pt>
                <c:pt idx="559">
                  <c:v>120.89720837717098</c:v>
                </c:pt>
                <c:pt idx="560">
                  <c:v>120.89744298788568</c:v>
                </c:pt>
                <c:pt idx="561">
                  <c:v>120.89767759490675</c:v>
                </c:pt>
                <c:pt idx="562">
                  <c:v>120.8979121982342</c:v>
                </c:pt>
                <c:pt idx="563">
                  <c:v>120.89814679786804</c:v>
                </c:pt>
                <c:pt idx="564">
                  <c:v>120.89838139380831</c:v>
                </c:pt>
                <c:pt idx="565">
                  <c:v>120.89861598605506</c:v>
                </c:pt>
                <c:pt idx="566">
                  <c:v>120.8988505746083</c:v>
                </c:pt>
                <c:pt idx="567">
                  <c:v>120.89908515946804</c:v>
                </c:pt>
                <c:pt idx="568">
                  <c:v>120.89931974063435</c:v>
                </c:pt>
                <c:pt idx="569">
                  <c:v>120.89955431810725</c:v>
                </c:pt>
                <c:pt idx="570">
                  <c:v>120.89978889188673</c:v>
                </c:pt>
                <c:pt idx="571">
                  <c:v>120.90002346197286</c:v>
                </c:pt>
                <c:pt idx="572">
                  <c:v>120.90025802836566</c:v>
                </c:pt>
                <c:pt idx="573">
                  <c:v>120.90049259106513</c:v>
                </c:pt>
                <c:pt idx="574">
                  <c:v>120.90072715007133</c:v>
                </c:pt>
                <c:pt idx="575">
                  <c:v>120.90096170538429</c:v>
                </c:pt>
                <c:pt idx="576">
                  <c:v>120.90119625700403</c:v>
                </c:pt>
                <c:pt idx="577">
                  <c:v>120.90143080493056</c:v>
                </c:pt>
                <c:pt idx="578">
                  <c:v>120.90166534916393</c:v>
                </c:pt>
                <c:pt idx="579">
                  <c:v>120.90189988970417</c:v>
                </c:pt>
                <c:pt idx="580">
                  <c:v>120.9021344265513</c:v>
                </c:pt>
                <c:pt idx="581">
                  <c:v>120.90236895970536</c:v>
                </c:pt>
                <c:pt idx="582">
                  <c:v>120.90260348916635</c:v>
                </c:pt>
                <c:pt idx="583">
                  <c:v>120.90283801493433</c:v>
                </c:pt>
                <c:pt idx="584">
                  <c:v>120.90307253700932</c:v>
                </c:pt>
                <c:pt idx="585">
                  <c:v>120.90330705539134</c:v>
                </c:pt>
                <c:pt idx="586">
                  <c:v>120.90354157008042</c:v>
                </c:pt>
                <c:pt idx="587">
                  <c:v>120.9037760810766</c:v>
                </c:pt>
                <c:pt idx="588">
                  <c:v>120.90401058837989</c:v>
                </c:pt>
                <c:pt idx="589">
                  <c:v>120.90424509199033</c:v>
                </c:pt>
                <c:pt idx="590">
                  <c:v>120.90447959190796</c:v>
                </c:pt>
                <c:pt idx="591">
                  <c:v>120.90471408813279</c:v>
                </c:pt>
                <c:pt idx="592">
                  <c:v>120.90494858066484</c:v>
                </c:pt>
                <c:pt idx="593">
                  <c:v>120.90518306950418</c:v>
                </c:pt>
                <c:pt idx="594">
                  <c:v>120.90541755465078</c:v>
                </c:pt>
                <c:pt idx="595">
                  <c:v>120.90565203610473</c:v>
                </c:pt>
                <c:pt idx="596">
                  <c:v>120.90588651386601</c:v>
                </c:pt>
                <c:pt idx="597">
                  <c:v>120.90612098793467</c:v>
                </c:pt>
                <c:pt idx="598">
                  <c:v>120.90635545831073</c:v>
                </c:pt>
                <c:pt idx="599">
                  <c:v>120.90658992499424</c:v>
                </c:pt>
                <c:pt idx="600">
                  <c:v>120.90682438798518</c:v>
                </c:pt>
                <c:pt idx="601">
                  <c:v>120.90705884728364</c:v>
                </c:pt>
                <c:pt idx="602">
                  <c:v>120.90729330288961</c:v>
                </c:pt>
                <c:pt idx="603">
                  <c:v>120.90752775480313</c:v>
                </c:pt>
                <c:pt idx="604">
                  <c:v>120.90776220302423</c:v>
                </c:pt>
                <c:pt idx="605">
                  <c:v>120.90799664755292</c:v>
                </c:pt>
                <c:pt idx="606">
                  <c:v>120.90823108838926</c:v>
                </c:pt>
                <c:pt idx="607">
                  <c:v>120.90846552553326</c:v>
                </c:pt>
                <c:pt idx="608">
                  <c:v>120.90869995898497</c:v>
                </c:pt>
                <c:pt idx="609">
                  <c:v>120.90893438874437</c:v>
                </c:pt>
                <c:pt idx="610">
                  <c:v>120.90916881481154</c:v>
                </c:pt>
                <c:pt idx="611">
                  <c:v>120.90940323718648</c:v>
                </c:pt>
                <c:pt idx="612">
                  <c:v>120.90963765586923</c:v>
                </c:pt>
                <c:pt idx="613">
                  <c:v>120.90987207085981</c:v>
                </c:pt>
                <c:pt idx="614">
                  <c:v>120.91010648215823</c:v>
                </c:pt>
                <c:pt idx="615">
                  <c:v>120.91034088976457</c:v>
                </c:pt>
                <c:pt idx="616">
                  <c:v>120.91057529367882</c:v>
                </c:pt>
                <c:pt idx="617">
                  <c:v>120.91080969390102</c:v>
                </c:pt>
                <c:pt idx="618">
                  <c:v>120.91104409043118</c:v>
                </c:pt>
                <c:pt idx="619">
                  <c:v>120.91127848326934</c:v>
                </c:pt>
                <c:pt idx="620">
                  <c:v>120.91151287241556</c:v>
                </c:pt>
                <c:pt idx="621">
                  <c:v>120.91174725786983</c:v>
                </c:pt>
                <c:pt idx="622">
                  <c:v>120.9119816396322</c:v>
                </c:pt>
                <c:pt idx="623">
                  <c:v>120.91221601770269</c:v>
                </c:pt>
                <c:pt idx="624">
                  <c:v>120.91245039208133</c:v>
                </c:pt>
                <c:pt idx="625">
                  <c:v>120.91268476276812</c:v>
                </c:pt>
                <c:pt idx="626">
                  <c:v>120.91291912976313</c:v>
                </c:pt>
                <c:pt idx="627">
                  <c:v>120.91315349306637</c:v>
                </c:pt>
                <c:pt idx="628">
                  <c:v>120.91338785267789</c:v>
                </c:pt>
                <c:pt idx="629">
                  <c:v>120.91362220859769</c:v>
                </c:pt>
                <c:pt idx="630">
                  <c:v>120.91385656082581</c:v>
                </c:pt>
                <c:pt idx="631">
                  <c:v>120.91409090936227</c:v>
                </c:pt>
                <c:pt idx="632">
                  <c:v>120.9143252542071</c:v>
                </c:pt>
                <c:pt idx="633">
                  <c:v>120.91455959536036</c:v>
                </c:pt>
                <c:pt idx="634">
                  <c:v>120.91479393282205</c:v>
                </c:pt>
                <c:pt idx="635">
                  <c:v>120.91502826659219</c:v>
                </c:pt>
                <c:pt idx="636">
                  <c:v>120.91526259667083</c:v>
                </c:pt>
                <c:pt idx="637">
                  <c:v>120.91549692305797</c:v>
                </c:pt>
                <c:pt idx="638">
                  <c:v>120.91573124575366</c:v>
                </c:pt>
                <c:pt idx="639">
                  <c:v>120.91596556475793</c:v>
                </c:pt>
                <c:pt idx="640">
                  <c:v>120.91619988007082</c:v>
                </c:pt>
                <c:pt idx="641">
                  <c:v>120.91643419169232</c:v>
                </c:pt>
                <c:pt idx="642">
                  <c:v>120.91666849962249</c:v>
                </c:pt>
                <c:pt idx="643">
                  <c:v>120.91690280386136</c:v>
                </c:pt>
                <c:pt idx="644">
                  <c:v>120.91713710440894</c:v>
                </c:pt>
                <c:pt idx="645">
                  <c:v>120.91737140126526</c:v>
                </c:pt>
                <c:pt idx="646">
                  <c:v>120.91760569443035</c:v>
                </c:pt>
                <c:pt idx="647">
                  <c:v>120.91783998390426</c:v>
                </c:pt>
                <c:pt idx="648">
                  <c:v>120.91807426968701</c:v>
                </c:pt>
                <c:pt idx="649">
                  <c:v>120.91830855177861</c:v>
                </c:pt>
                <c:pt idx="650">
                  <c:v>120.91854283017912</c:v>
                </c:pt>
                <c:pt idx="651">
                  <c:v>120.91877710488853</c:v>
                </c:pt>
                <c:pt idx="652">
                  <c:v>120.91901137590688</c:v>
                </c:pt>
                <c:pt idx="653">
                  <c:v>120.91924564323422</c:v>
                </c:pt>
                <c:pt idx="654">
                  <c:v>120.91947990687055</c:v>
                </c:pt>
                <c:pt idx="655">
                  <c:v>120.91971416681592</c:v>
                </c:pt>
                <c:pt idx="656">
                  <c:v>120.91994842307037</c:v>
                </c:pt>
                <c:pt idx="657">
                  <c:v>120.92018267563388</c:v>
                </c:pt>
                <c:pt idx="658">
                  <c:v>120.92041692450653</c:v>
                </c:pt>
                <c:pt idx="659">
                  <c:v>120.92065116968831</c:v>
                </c:pt>
                <c:pt idx="660">
                  <c:v>120.92088541117927</c:v>
                </c:pt>
                <c:pt idx="661">
                  <c:v>120.92111964897946</c:v>
                </c:pt>
                <c:pt idx="662">
                  <c:v>120.92135388308884</c:v>
                </c:pt>
                <c:pt idx="663">
                  <c:v>120.92158811350751</c:v>
                </c:pt>
                <c:pt idx="664">
                  <c:v>120.92182234023545</c:v>
                </c:pt>
                <c:pt idx="665">
                  <c:v>120.92205656327272</c:v>
                </c:pt>
                <c:pt idx="666">
                  <c:v>120.92229078261934</c:v>
                </c:pt>
                <c:pt idx="667">
                  <c:v>120.92252499827532</c:v>
                </c:pt>
                <c:pt idx="668">
                  <c:v>120.92275921024071</c:v>
                </c:pt>
                <c:pt idx="669">
                  <c:v>120.92299341851553</c:v>
                </c:pt>
                <c:pt idx="670">
                  <c:v>120.92322762309981</c:v>
                </c:pt>
                <c:pt idx="671">
                  <c:v>120.92346182399358</c:v>
                </c:pt>
                <c:pt idx="672">
                  <c:v>120.92369602119687</c:v>
                </c:pt>
                <c:pt idx="673">
                  <c:v>120.9239302147097</c:v>
                </c:pt>
                <c:pt idx="674">
                  <c:v>120.92416440453212</c:v>
                </c:pt>
                <c:pt idx="675">
                  <c:v>120.92439859066413</c:v>
                </c:pt>
                <c:pt idx="676">
                  <c:v>120.92463277310577</c:v>
                </c:pt>
                <c:pt idx="677">
                  <c:v>120.92486695185708</c:v>
                </c:pt>
                <c:pt idx="678">
                  <c:v>120.92510112691808</c:v>
                </c:pt>
                <c:pt idx="679">
                  <c:v>120.92533529828879</c:v>
                </c:pt>
                <c:pt idx="680">
                  <c:v>120.92556946596926</c:v>
                </c:pt>
                <c:pt idx="681">
                  <c:v>120.9258036299595</c:v>
                </c:pt>
                <c:pt idx="682">
                  <c:v>120.92603779025956</c:v>
                </c:pt>
                <c:pt idx="683">
                  <c:v>120.92627194686941</c:v>
                </c:pt>
                <c:pt idx="684">
                  <c:v>120.92650609978914</c:v>
                </c:pt>
                <c:pt idx="685">
                  <c:v>120.92674024901876</c:v>
                </c:pt>
                <c:pt idx="686">
                  <c:v>120.9269743945583</c:v>
                </c:pt>
                <c:pt idx="687">
                  <c:v>120.92720853640778</c:v>
                </c:pt>
                <c:pt idx="688">
                  <c:v>120.92744267456723</c:v>
                </c:pt>
                <c:pt idx="689">
                  <c:v>120.92767680903668</c:v>
                </c:pt>
                <c:pt idx="690">
                  <c:v>120.92791093981617</c:v>
                </c:pt>
                <c:pt idx="691">
                  <c:v>120.92814506690573</c:v>
                </c:pt>
                <c:pt idx="692">
                  <c:v>120.92837919030536</c:v>
                </c:pt>
                <c:pt idx="693">
                  <c:v>120.92861331001512</c:v>
                </c:pt>
                <c:pt idx="694">
                  <c:v>120.92884742603503</c:v>
                </c:pt>
                <c:pt idx="695">
                  <c:v>120.92908153836511</c:v>
                </c:pt>
                <c:pt idx="696">
                  <c:v>120.92931564700538</c:v>
                </c:pt>
                <c:pt idx="697">
                  <c:v>120.92954975195588</c:v>
                </c:pt>
                <c:pt idx="698">
                  <c:v>120.92978385321666</c:v>
                </c:pt>
                <c:pt idx="699">
                  <c:v>120.93001795078773</c:v>
                </c:pt>
                <c:pt idx="700">
                  <c:v>120.93025204466909</c:v>
                </c:pt>
                <c:pt idx="701">
                  <c:v>120.93048613486081</c:v>
                </c:pt>
                <c:pt idx="702">
                  <c:v>120.93072022136292</c:v>
                </c:pt>
                <c:pt idx="703">
                  <c:v>120.93095430417543</c:v>
                </c:pt>
                <c:pt idx="704">
                  <c:v>120.93118838329836</c:v>
                </c:pt>
                <c:pt idx="705">
                  <c:v>120.93142245873176</c:v>
                </c:pt>
                <c:pt idx="706">
                  <c:v>120.93165653047564</c:v>
                </c:pt>
                <c:pt idx="707">
                  <c:v>120.93189059853003</c:v>
                </c:pt>
                <c:pt idx="708">
                  <c:v>120.93212466289498</c:v>
                </c:pt>
                <c:pt idx="709">
                  <c:v>120.93235872357049</c:v>
                </c:pt>
                <c:pt idx="710">
                  <c:v>120.93259278055662</c:v>
                </c:pt>
                <c:pt idx="711">
                  <c:v>120.93282683385337</c:v>
                </c:pt>
                <c:pt idx="712">
                  <c:v>120.93306088346077</c:v>
                </c:pt>
                <c:pt idx="713">
                  <c:v>120.93329492937886</c:v>
                </c:pt>
                <c:pt idx="714">
                  <c:v>120.93352897160767</c:v>
                </c:pt>
                <c:pt idx="715">
                  <c:v>120.93376301014723</c:v>
                </c:pt>
                <c:pt idx="716">
                  <c:v>120.93399704499758</c:v>
                </c:pt>
                <c:pt idx="717">
                  <c:v>120.93423107615871</c:v>
                </c:pt>
                <c:pt idx="718">
                  <c:v>120.93446510363069</c:v>
                </c:pt>
                <c:pt idx="719">
                  <c:v>120.93469912741351</c:v>
                </c:pt>
                <c:pt idx="720">
                  <c:v>120.93493314750722</c:v>
                </c:pt>
                <c:pt idx="721">
                  <c:v>120.93516716391186</c:v>
                </c:pt>
                <c:pt idx="722">
                  <c:v>120.93540117662742</c:v>
                </c:pt>
                <c:pt idx="723">
                  <c:v>120.93563518565398</c:v>
                </c:pt>
                <c:pt idx="724">
                  <c:v>120.93586919099153</c:v>
                </c:pt>
                <c:pt idx="725">
                  <c:v>120.9361031926401</c:v>
                </c:pt>
                <c:pt idx="726">
                  <c:v>120.93633719059976</c:v>
                </c:pt>
                <c:pt idx="727">
                  <c:v>120.93657118487049</c:v>
                </c:pt>
                <c:pt idx="728">
                  <c:v>120.93680517545232</c:v>
                </c:pt>
                <c:pt idx="729">
                  <c:v>120.93703916234533</c:v>
                </c:pt>
                <c:pt idx="730">
                  <c:v>120.93727314554948</c:v>
                </c:pt>
                <c:pt idx="731">
                  <c:v>120.93750712506485</c:v>
                </c:pt>
                <c:pt idx="732">
                  <c:v>120.93774110089144</c:v>
                </c:pt>
                <c:pt idx="733">
                  <c:v>120.93797507302931</c:v>
                </c:pt>
                <c:pt idx="734">
                  <c:v>120.93820904147846</c:v>
                </c:pt>
                <c:pt idx="735">
                  <c:v>120.93844300623891</c:v>
                </c:pt>
                <c:pt idx="736">
                  <c:v>120.93867696731071</c:v>
                </c:pt>
                <c:pt idx="737">
                  <c:v>120.93891092469389</c:v>
                </c:pt>
                <c:pt idx="738">
                  <c:v>120.93914487838846</c:v>
                </c:pt>
                <c:pt idx="739">
                  <c:v>120.93937882839447</c:v>
                </c:pt>
                <c:pt idx="740">
                  <c:v>120.93961277471195</c:v>
                </c:pt>
                <c:pt idx="741">
                  <c:v>120.93984671734091</c:v>
                </c:pt>
                <c:pt idx="742">
                  <c:v>120.9400806562814</c:v>
                </c:pt>
                <c:pt idx="743">
                  <c:v>120.94031459153341</c:v>
                </c:pt>
                <c:pt idx="744">
                  <c:v>120.94054852309701</c:v>
                </c:pt>
                <c:pt idx="745">
                  <c:v>120.94078245097221</c:v>
                </c:pt>
                <c:pt idx="746">
                  <c:v>120.94101637515902</c:v>
                </c:pt>
                <c:pt idx="747">
                  <c:v>120.94125029565751</c:v>
                </c:pt>
                <c:pt idx="748">
                  <c:v>120.94148421246769</c:v>
                </c:pt>
                <c:pt idx="749">
                  <c:v>120.94171812558957</c:v>
                </c:pt>
                <c:pt idx="750">
                  <c:v>120.94195203502321</c:v>
                </c:pt>
                <c:pt idx="751">
                  <c:v>120.9421859407686</c:v>
                </c:pt>
                <c:pt idx="752">
                  <c:v>120.9424198428258</c:v>
                </c:pt>
                <c:pt idx="753">
                  <c:v>120.94265374119483</c:v>
                </c:pt>
                <c:pt idx="754">
                  <c:v>120.94288763587573</c:v>
                </c:pt>
                <c:pt idx="755">
                  <c:v>120.94312152686851</c:v>
                </c:pt>
                <c:pt idx="756">
                  <c:v>120.94335541417321</c:v>
                </c:pt>
                <c:pt idx="757">
                  <c:v>120.94358929778984</c:v>
                </c:pt>
                <c:pt idx="758">
                  <c:v>120.94382317771846</c:v>
                </c:pt>
                <c:pt idx="759">
                  <c:v>120.94405705395907</c:v>
                </c:pt>
                <c:pt idx="760">
                  <c:v>120.9442909265117</c:v>
                </c:pt>
                <c:pt idx="761">
                  <c:v>120.94452479537641</c:v>
                </c:pt>
                <c:pt idx="762">
                  <c:v>120.94475866055321</c:v>
                </c:pt>
                <c:pt idx="763">
                  <c:v>120.94499252204211</c:v>
                </c:pt>
                <c:pt idx="764">
                  <c:v>120.94522637984318</c:v>
                </c:pt>
                <c:pt idx="765">
                  <c:v>120.9454602339564</c:v>
                </c:pt>
                <c:pt idx="766">
                  <c:v>120.94569408438181</c:v>
                </c:pt>
                <c:pt idx="767">
                  <c:v>120.94592793111946</c:v>
                </c:pt>
                <c:pt idx="768">
                  <c:v>120.94616177416938</c:v>
                </c:pt>
                <c:pt idx="769">
                  <c:v>120.94639561353158</c:v>
                </c:pt>
                <c:pt idx="770">
                  <c:v>120.9466294492061</c:v>
                </c:pt>
                <c:pt idx="771">
                  <c:v>120.94686328119296</c:v>
                </c:pt>
                <c:pt idx="772">
                  <c:v>120.94709710949219</c:v>
                </c:pt>
                <c:pt idx="773">
                  <c:v>120.94733093410383</c:v>
                </c:pt>
                <c:pt idx="774">
                  <c:v>120.9475647550279</c:v>
                </c:pt>
                <c:pt idx="775">
                  <c:v>120.94779857226443</c:v>
                </c:pt>
                <c:pt idx="776">
                  <c:v>120.94803238581343</c:v>
                </c:pt>
                <c:pt idx="777">
                  <c:v>120.94826619567496</c:v>
                </c:pt>
                <c:pt idx="778">
                  <c:v>120.94850000184903</c:v>
                </c:pt>
                <c:pt idx="779">
                  <c:v>120.94873380433567</c:v>
                </c:pt>
                <c:pt idx="780">
                  <c:v>120.94896760313492</c:v>
                </c:pt>
                <c:pt idx="781">
                  <c:v>120.94920139824679</c:v>
                </c:pt>
                <c:pt idx="782">
                  <c:v>120.94943518967132</c:v>
                </c:pt>
                <c:pt idx="783">
                  <c:v>120.94966897740855</c:v>
                </c:pt>
                <c:pt idx="784">
                  <c:v>120.94990276145847</c:v>
                </c:pt>
                <c:pt idx="785">
                  <c:v>120.95013654182115</c:v>
                </c:pt>
                <c:pt idx="786">
                  <c:v>120.9503703184966</c:v>
                </c:pt>
                <c:pt idx="787">
                  <c:v>120.95060409148485</c:v>
                </c:pt>
                <c:pt idx="788">
                  <c:v>120.95083786078592</c:v>
                </c:pt>
                <c:pt idx="789">
                  <c:v>120.95107162639985</c:v>
                </c:pt>
                <c:pt idx="790">
                  <c:v>120.95130538832667</c:v>
                </c:pt>
                <c:pt idx="791">
                  <c:v>120.95153914656642</c:v>
                </c:pt>
                <c:pt idx="792">
                  <c:v>120.9517729011191</c:v>
                </c:pt>
                <c:pt idx="793">
                  <c:v>120.95200665198475</c:v>
                </c:pt>
                <c:pt idx="794">
                  <c:v>120.9522403991634</c:v>
                </c:pt>
                <c:pt idx="795">
                  <c:v>120.95247414265508</c:v>
                </c:pt>
                <c:pt idx="796">
                  <c:v>120.95270788245983</c:v>
                </c:pt>
                <c:pt idx="797">
                  <c:v>120.95294161857765</c:v>
                </c:pt>
                <c:pt idx="798">
                  <c:v>120.95317535100861</c:v>
                </c:pt>
                <c:pt idx="799">
                  <c:v>120.9534090797527</c:v>
                </c:pt>
                <c:pt idx="800">
                  <c:v>120.95364280480996</c:v>
                </c:pt>
                <c:pt idx="801">
                  <c:v>120.95387652618042</c:v>
                </c:pt>
                <c:pt idx="802">
                  <c:v>120.95411024386411</c:v>
                </c:pt>
                <c:pt idx="803">
                  <c:v>120.95434395786104</c:v>
                </c:pt>
                <c:pt idx="804">
                  <c:v>120.95457766817128</c:v>
                </c:pt>
                <c:pt idx="805">
                  <c:v>120.95481137479483</c:v>
                </c:pt>
                <c:pt idx="806">
                  <c:v>120.95504507773171</c:v>
                </c:pt>
                <c:pt idx="807">
                  <c:v>120.95527877698197</c:v>
                </c:pt>
                <c:pt idx="808">
                  <c:v>120.95551247254564</c:v>
                </c:pt>
                <c:pt idx="809">
                  <c:v>120.95574616442272</c:v>
                </c:pt>
                <c:pt idx="810">
                  <c:v>120.95597985261328</c:v>
                </c:pt>
                <c:pt idx="811">
                  <c:v>120.95621353711732</c:v>
                </c:pt>
                <c:pt idx="812">
                  <c:v>120.95644721793488</c:v>
                </c:pt>
                <c:pt idx="813">
                  <c:v>120.95668089506597</c:v>
                </c:pt>
                <c:pt idx="814">
                  <c:v>120.95691456851064</c:v>
                </c:pt>
                <c:pt idx="815">
                  <c:v>120.95714823826891</c:v>
                </c:pt>
                <c:pt idx="816">
                  <c:v>120.95738190434081</c:v>
                </c:pt>
                <c:pt idx="817">
                  <c:v>120.95761556672636</c:v>
                </c:pt>
                <c:pt idx="818">
                  <c:v>120.9578492254256</c:v>
                </c:pt>
                <c:pt idx="819">
                  <c:v>120.95808288043857</c:v>
                </c:pt>
                <c:pt idx="820">
                  <c:v>120.95831653176526</c:v>
                </c:pt>
                <c:pt idx="821">
                  <c:v>120.95855017940573</c:v>
                </c:pt>
                <c:pt idx="822">
                  <c:v>120.95878382336001</c:v>
                </c:pt>
                <c:pt idx="823">
                  <c:v>120.9590174636281</c:v>
                </c:pt>
                <c:pt idx="824">
                  <c:v>120.95925110021007</c:v>
                </c:pt>
                <c:pt idx="825">
                  <c:v>120.9594847331059</c:v>
                </c:pt>
                <c:pt idx="826">
                  <c:v>120.95971836231566</c:v>
                </c:pt>
                <c:pt idx="827">
                  <c:v>120.95995198783935</c:v>
                </c:pt>
                <c:pt idx="828">
                  <c:v>120.96018560967703</c:v>
                </c:pt>
                <c:pt idx="829">
                  <c:v>120.96041922782871</c:v>
                </c:pt>
                <c:pt idx="830">
                  <c:v>120.96065284229439</c:v>
                </c:pt>
                <c:pt idx="831">
                  <c:v>120.96088645307417</c:v>
                </c:pt>
                <c:pt idx="832">
                  <c:v>120.96112006016801</c:v>
                </c:pt>
                <c:pt idx="833">
                  <c:v>120.96135366357596</c:v>
                </c:pt>
                <c:pt idx="834">
                  <c:v>120.96158726329806</c:v>
                </c:pt>
                <c:pt idx="835">
                  <c:v>120.96182085933434</c:v>
                </c:pt>
                <c:pt idx="836">
                  <c:v>120.96205445168481</c:v>
                </c:pt>
                <c:pt idx="837">
                  <c:v>120.96228804034949</c:v>
                </c:pt>
                <c:pt idx="838">
                  <c:v>120.96252162532845</c:v>
                </c:pt>
                <c:pt idx="839">
                  <c:v>120.96275520662169</c:v>
                </c:pt>
                <c:pt idx="840">
                  <c:v>120.96298878422927</c:v>
                </c:pt>
                <c:pt idx="841">
                  <c:v>120.96322235815117</c:v>
                </c:pt>
                <c:pt idx="842">
                  <c:v>120.96345592838743</c:v>
                </c:pt>
                <c:pt idx="843">
                  <c:v>120.96368949493811</c:v>
                </c:pt>
                <c:pt idx="844">
                  <c:v>120.9639230578032</c:v>
                </c:pt>
                <c:pt idx="845">
                  <c:v>120.96415661698276</c:v>
                </c:pt>
                <c:pt idx="846">
                  <c:v>120.9643901724768</c:v>
                </c:pt>
                <c:pt idx="847">
                  <c:v>120.96462372428535</c:v>
                </c:pt>
                <c:pt idx="848">
                  <c:v>120.96485727240845</c:v>
                </c:pt>
                <c:pt idx="849">
                  <c:v>120.96509081684611</c:v>
                </c:pt>
                <c:pt idx="850">
                  <c:v>120.96532435759839</c:v>
                </c:pt>
                <c:pt idx="851">
                  <c:v>120.9655578946653</c:v>
                </c:pt>
                <c:pt idx="852">
                  <c:v>120.96579142804686</c:v>
                </c:pt>
                <c:pt idx="853">
                  <c:v>120.96602495774309</c:v>
                </c:pt>
                <c:pt idx="854">
                  <c:v>120.96625848375405</c:v>
                </c:pt>
                <c:pt idx="855">
                  <c:v>120.96649200607975</c:v>
                </c:pt>
                <c:pt idx="856">
                  <c:v>120.96672552472022</c:v>
                </c:pt>
                <c:pt idx="857">
                  <c:v>120.96695903967549</c:v>
                </c:pt>
                <c:pt idx="858">
                  <c:v>120.96719255094558</c:v>
                </c:pt>
                <c:pt idx="859">
                  <c:v>120.96742605853053</c:v>
                </c:pt>
                <c:pt idx="860">
                  <c:v>120.96765956243037</c:v>
                </c:pt>
                <c:pt idx="861">
                  <c:v>120.96789306264513</c:v>
                </c:pt>
                <c:pt idx="862">
                  <c:v>120.96812655917483</c:v>
                </c:pt>
                <c:pt idx="863">
                  <c:v>120.96836005201949</c:v>
                </c:pt>
                <c:pt idx="864">
                  <c:v>120.96859354117916</c:v>
                </c:pt>
                <c:pt idx="865">
                  <c:v>120.96882702665386</c:v>
                </c:pt>
                <c:pt idx="866">
                  <c:v>120.96906050844362</c:v>
                </c:pt>
                <c:pt idx="867">
                  <c:v>120.96929398654846</c:v>
                </c:pt>
                <c:pt idx="868">
                  <c:v>120.96952746096842</c:v>
                </c:pt>
                <c:pt idx="869">
                  <c:v>120.96976093170352</c:v>
                </c:pt>
                <c:pt idx="870">
                  <c:v>120.96999439875378</c:v>
                </c:pt>
                <c:pt idx="871">
                  <c:v>120.97022786211926</c:v>
                </c:pt>
                <c:pt idx="872">
                  <c:v>120.97046132179995</c:v>
                </c:pt>
                <c:pt idx="873">
                  <c:v>120.97069477779588</c:v>
                </c:pt>
                <c:pt idx="874">
                  <c:v>120.97092823010712</c:v>
                </c:pt>
                <c:pt idx="875">
                  <c:v>120.97116167873367</c:v>
                </c:pt>
                <c:pt idx="876">
                  <c:v>120.97139512367556</c:v>
                </c:pt>
                <c:pt idx="877">
                  <c:v>120.97162856493283</c:v>
                </c:pt>
                <c:pt idx="878">
                  <c:v>120.97186200250549</c:v>
                </c:pt>
                <c:pt idx="879">
                  <c:v>120.97209543639357</c:v>
                </c:pt>
                <c:pt idx="880">
                  <c:v>120.97232886659712</c:v>
                </c:pt>
                <c:pt idx="881">
                  <c:v>120.97256229311616</c:v>
                </c:pt>
                <c:pt idx="882">
                  <c:v>120.97279571595068</c:v>
                </c:pt>
                <c:pt idx="883">
                  <c:v>120.97302913510079</c:v>
                </c:pt>
                <c:pt idx="884">
                  <c:v>120.97326255056645</c:v>
                </c:pt>
                <c:pt idx="885">
                  <c:v>120.9734959623477</c:v>
                </c:pt>
                <c:pt idx="886">
                  <c:v>120.9737293704446</c:v>
                </c:pt>
                <c:pt idx="887">
                  <c:v>120.97396277485714</c:v>
                </c:pt>
                <c:pt idx="888">
                  <c:v>120.97419617558538</c:v>
                </c:pt>
                <c:pt idx="889">
                  <c:v>120.97442957262932</c:v>
                </c:pt>
                <c:pt idx="890">
                  <c:v>120.97466296598901</c:v>
                </c:pt>
                <c:pt idx="891">
                  <c:v>120.97489635566447</c:v>
                </c:pt>
                <c:pt idx="892">
                  <c:v>120.97512974165572</c:v>
                </c:pt>
                <c:pt idx="893">
                  <c:v>120.97536312396279</c:v>
                </c:pt>
                <c:pt idx="894">
                  <c:v>120.97559650258573</c:v>
                </c:pt>
                <c:pt idx="895">
                  <c:v>120.97582987752456</c:v>
                </c:pt>
                <c:pt idx="896">
                  <c:v>120.97606324877928</c:v>
                </c:pt>
                <c:pt idx="897">
                  <c:v>120.97629661634997</c:v>
                </c:pt>
                <c:pt idx="898">
                  <c:v>120.97652998023661</c:v>
                </c:pt>
                <c:pt idx="899">
                  <c:v>120.97676334043925</c:v>
                </c:pt>
                <c:pt idx="900">
                  <c:v>120.97699669695794</c:v>
                </c:pt>
                <c:pt idx="901">
                  <c:v>120.97723004979267</c:v>
                </c:pt>
                <c:pt idx="902">
                  <c:v>120.97746339894348</c:v>
                </c:pt>
                <c:pt idx="903">
                  <c:v>120.97769674441041</c:v>
                </c:pt>
                <c:pt idx="904">
                  <c:v>120.9779300861935</c:v>
                </c:pt>
                <c:pt idx="905">
                  <c:v>120.97816342429273</c:v>
                </c:pt>
                <c:pt idx="906">
                  <c:v>120.97839675870817</c:v>
                </c:pt>
                <c:pt idx="907">
                  <c:v>120.97863008943983</c:v>
                </c:pt>
                <c:pt idx="908">
                  <c:v>120.97886341648777</c:v>
                </c:pt>
                <c:pt idx="909">
                  <c:v>120.97909673985198</c:v>
                </c:pt>
                <c:pt idx="910">
                  <c:v>120.97933005953251</c:v>
                </c:pt>
                <c:pt idx="911">
                  <c:v>120.97956337552938</c:v>
                </c:pt>
                <c:pt idx="912">
                  <c:v>120.97979668784261</c:v>
                </c:pt>
                <c:pt idx="913">
                  <c:v>120.98002999647224</c:v>
                </c:pt>
                <c:pt idx="914">
                  <c:v>120.9802633014183</c:v>
                </c:pt>
                <c:pt idx="915">
                  <c:v>120.98049660268084</c:v>
                </c:pt>
                <c:pt idx="916">
                  <c:v>120.98072990025985</c:v>
                </c:pt>
                <c:pt idx="917">
                  <c:v>120.98096319415535</c:v>
                </c:pt>
                <c:pt idx="918">
                  <c:v>120.98119648436742</c:v>
                </c:pt>
                <c:pt idx="919">
                  <c:v>120.98142977089606</c:v>
                </c:pt>
                <c:pt idx="920">
                  <c:v>120.98166305374129</c:v>
                </c:pt>
                <c:pt idx="921">
                  <c:v>120.98189633290316</c:v>
                </c:pt>
                <c:pt idx="922">
                  <c:v>120.98212960838168</c:v>
                </c:pt>
                <c:pt idx="923">
                  <c:v>120.98236288017688</c:v>
                </c:pt>
                <c:pt idx="924">
                  <c:v>120.98259614828878</c:v>
                </c:pt>
                <c:pt idx="925">
                  <c:v>120.98282941271745</c:v>
                </c:pt>
                <c:pt idx="926">
                  <c:v>120.98306267346288</c:v>
                </c:pt>
                <c:pt idx="927">
                  <c:v>120.9832959305251</c:v>
                </c:pt>
                <c:pt idx="928">
                  <c:v>120.98352918390414</c:v>
                </c:pt>
                <c:pt idx="929">
                  <c:v>120.98376243360005</c:v>
                </c:pt>
                <c:pt idx="930">
                  <c:v>120.98399567961283</c:v>
                </c:pt>
                <c:pt idx="931">
                  <c:v>120.98422892194255</c:v>
                </c:pt>
                <c:pt idx="932">
                  <c:v>120.9844621605892</c:v>
                </c:pt>
                <c:pt idx="933">
                  <c:v>120.98469539555282</c:v>
                </c:pt>
                <c:pt idx="934">
                  <c:v>120.98492862683344</c:v>
                </c:pt>
                <c:pt idx="935">
                  <c:v>120.98516185443107</c:v>
                </c:pt>
                <c:pt idx="936">
                  <c:v>120.98539507834577</c:v>
                </c:pt>
                <c:pt idx="937">
                  <c:v>120.98562829857755</c:v>
                </c:pt>
                <c:pt idx="938">
                  <c:v>120.98586151512644</c:v>
                </c:pt>
                <c:pt idx="939">
                  <c:v>120.98609472799249</c:v>
                </c:pt>
                <c:pt idx="940">
                  <c:v>120.9863279371757</c:v>
                </c:pt>
                <c:pt idx="941">
                  <c:v>120.98656114267611</c:v>
                </c:pt>
                <c:pt idx="942">
                  <c:v>120.98679434449375</c:v>
                </c:pt>
                <c:pt idx="943">
                  <c:v>120.98702754262862</c:v>
                </c:pt>
                <c:pt idx="944">
                  <c:v>120.9872607370808</c:v>
                </c:pt>
                <c:pt idx="945">
                  <c:v>120.98749392785029</c:v>
                </c:pt>
                <c:pt idx="946">
                  <c:v>120.98772711493713</c:v>
                </c:pt>
                <c:pt idx="947">
                  <c:v>120.98796029834133</c:v>
                </c:pt>
                <c:pt idx="948">
                  <c:v>120.98819347806294</c:v>
                </c:pt>
                <c:pt idx="949">
                  <c:v>120.98842665410197</c:v>
                </c:pt>
                <c:pt idx="950">
                  <c:v>120.98865982645844</c:v>
                </c:pt>
                <c:pt idx="951">
                  <c:v>120.98889299513243</c:v>
                </c:pt>
                <c:pt idx="952">
                  <c:v>120.9891261601239</c:v>
                </c:pt>
                <c:pt idx="953">
                  <c:v>120.98935932143294</c:v>
                </c:pt>
                <c:pt idx="954">
                  <c:v>120.98959247905952</c:v>
                </c:pt>
                <c:pt idx="955">
                  <c:v>120.98982563300372</c:v>
                </c:pt>
                <c:pt idx="956">
                  <c:v>120.99005878326555</c:v>
                </c:pt>
                <c:pt idx="957">
                  <c:v>120.99029192984501</c:v>
                </c:pt>
                <c:pt idx="958">
                  <c:v>120.99052507274219</c:v>
                </c:pt>
                <c:pt idx="959">
                  <c:v>120.99075821195707</c:v>
                </c:pt>
                <c:pt idx="960">
                  <c:v>120.9909913474897</c:v>
                </c:pt>
                <c:pt idx="961">
                  <c:v>120.99122447934008</c:v>
                </c:pt>
                <c:pt idx="962">
                  <c:v>120.99145760750827</c:v>
                </c:pt>
                <c:pt idx="963">
                  <c:v>120.99169073199427</c:v>
                </c:pt>
                <c:pt idx="964">
                  <c:v>120.99192385279812</c:v>
                </c:pt>
                <c:pt idx="965">
                  <c:v>120.99215696991989</c:v>
                </c:pt>
                <c:pt idx="966">
                  <c:v>120.99239008335955</c:v>
                </c:pt>
                <c:pt idx="967">
                  <c:v>120.99262319311717</c:v>
                </c:pt>
                <c:pt idx="968">
                  <c:v>120.99285629919275</c:v>
                </c:pt>
                <c:pt idx="969">
                  <c:v>120.99308940158633</c:v>
                </c:pt>
                <c:pt idx="970">
                  <c:v>120.99332250029794</c:v>
                </c:pt>
                <c:pt idx="971">
                  <c:v>120.99355559532759</c:v>
                </c:pt>
                <c:pt idx="972">
                  <c:v>120.99378868667533</c:v>
                </c:pt>
                <c:pt idx="973">
                  <c:v>120.99402177434119</c:v>
                </c:pt>
                <c:pt idx="974">
                  <c:v>120.99425485832519</c:v>
                </c:pt>
                <c:pt idx="975">
                  <c:v>120.99448793862736</c:v>
                </c:pt>
                <c:pt idx="976">
                  <c:v>120.99472101524773</c:v>
                </c:pt>
                <c:pt idx="977">
                  <c:v>120.99495408818632</c:v>
                </c:pt>
                <c:pt idx="978">
                  <c:v>120.99518715744317</c:v>
                </c:pt>
                <c:pt idx="979">
                  <c:v>120.9954202230183</c:v>
                </c:pt>
                <c:pt idx="980">
                  <c:v>120.99565328491174</c:v>
                </c:pt>
                <c:pt idx="981">
                  <c:v>120.99588634312354</c:v>
                </c:pt>
                <c:pt idx="982">
                  <c:v>120.9961193976537</c:v>
                </c:pt>
                <c:pt idx="983">
                  <c:v>120.99635244850225</c:v>
                </c:pt>
                <c:pt idx="984">
                  <c:v>120.99658549566924</c:v>
                </c:pt>
                <c:pt idx="985">
                  <c:v>120.99681853915467</c:v>
                </c:pt>
                <c:pt idx="986">
                  <c:v>120.99705157895859</c:v>
                </c:pt>
                <c:pt idx="987">
                  <c:v>120.99728461508103</c:v>
                </c:pt>
                <c:pt idx="988">
                  <c:v>120.99751764752202</c:v>
                </c:pt>
                <c:pt idx="989">
                  <c:v>120.99775067628156</c:v>
                </c:pt>
                <c:pt idx="990">
                  <c:v>120.9979837013597</c:v>
                </c:pt>
                <c:pt idx="991">
                  <c:v>120.99821672275647</c:v>
                </c:pt>
                <c:pt idx="992">
                  <c:v>120.9984497404719</c:v>
                </c:pt>
                <c:pt idx="993">
                  <c:v>120.99868275450602</c:v>
                </c:pt>
                <c:pt idx="994">
                  <c:v>120.99891576485885</c:v>
                </c:pt>
                <c:pt idx="995">
                  <c:v>120.99914877153041</c:v>
                </c:pt>
                <c:pt idx="996">
                  <c:v>120.99938177452074</c:v>
                </c:pt>
                <c:pt idx="997">
                  <c:v>120.99961477382989</c:v>
                </c:pt>
                <c:pt idx="998">
                  <c:v>120.99984776945784</c:v>
                </c:pt>
                <c:pt idx="999">
                  <c:v>121.00008076140466</c:v>
                </c:pt>
                <c:pt idx="1000">
                  <c:v>121.00031374967037</c:v>
                </c:pt>
              </c:numCache>
            </c:numRef>
          </c:yVal>
          <c:smooth val="0"/>
          <c:extLst>
            <c:ext xmlns:c16="http://schemas.microsoft.com/office/drawing/2014/chart" uri="{C3380CC4-5D6E-409C-BE32-E72D297353CC}">
              <c16:uniqueId val="{00000000-011B-490F-A283-4EB42FA064EB}"/>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33.600100000000211</c:v>
                </c:pt>
                <c:pt idx="518">
                  <c:v>33.600200000000214</c:v>
                </c:pt>
                <c:pt idx="519">
                  <c:v>33.600300000000217</c:v>
                </c:pt>
                <c:pt idx="520">
                  <c:v>33.600400000000221</c:v>
                </c:pt>
                <c:pt idx="521">
                  <c:v>33.600500000000224</c:v>
                </c:pt>
                <c:pt idx="522">
                  <c:v>33.600600000000227</c:v>
                </c:pt>
                <c:pt idx="523">
                  <c:v>33.600700000000231</c:v>
                </c:pt>
                <c:pt idx="524">
                  <c:v>33.600800000000234</c:v>
                </c:pt>
                <c:pt idx="525">
                  <c:v>33.600900000000237</c:v>
                </c:pt>
                <c:pt idx="526">
                  <c:v>33.601000000000241</c:v>
                </c:pt>
                <c:pt idx="527">
                  <c:v>33.601100000000244</c:v>
                </c:pt>
                <c:pt idx="528">
                  <c:v>33.601200000000247</c:v>
                </c:pt>
                <c:pt idx="529">
                  <c:v>33.601300000000251</c:v>
                </c:pt>
                <c:pt idx="530">
                  <c:v>33.601400000000254</c:v>
                </c:pt>
                <c:pt idx="531">
                  <c:v>33.601500000000257</c:v>
                </c:pt>
                <c:pt idx="532">
                  <c:v>33.601600000000261</c:v>
                </c:pt>
                <c:pt idx="533">
                  <c:v>33.601700000000264</c:v>
                </c:pt>
                <c:pt idx="534">
                  <c:v>33.601800000000267</c:v>
                </c:pt>
                <c:pt idx="535">
                  <c:v>33.601900000000271</c:v>
                </c:pt>
                <c:pt idx="536">
                  <c:v>33.602000000000274</c:v>
                </c:pt>
                <c:pt idx="537">
                  <c:v>33.602100000000277</c:v>
                </c:pt>
                <c:pt idx="538">
                  <c:v>33.602200000000281</c:v>
                </c:pt>
                <c:pt idx="539">
                  <c:v>33.602300000000284</c:v>
                </c:pt>
                <c:pt idx="540">
                  <c:v>33.602400000000287</c:v>
                </c:pt>
                <c:pt idx="541">
                  <c:v>33.60250000000029</c:v>
                </c:pt>
                <c:pt idx="542">
                  <c:v>33.602600000000294</c:v>
                </c:pt>
                <c:pt idx="543">
                  <c:v>33.602700000000297</c:v>
                </c:pt>
                <c:pt idx="544">
                  <c:v>33.6028000000003</c:v>
                </c:pt>
                <c:pt idx="545">
                  <c:v>33.602900000000304</c:v>
                </c:pt>
                <c:pt idx="546">
                  <c:v>33.603000000000307</c:v>
                </c:pt>
                <c:pt idx="547">
                  <c:v>33.60310000000031</c:v>
                </c:pt>
                <c:pt idx="548">
                  <c:v>33.603200000000314</c:v>
                </c:pt>
                <c:pt idx="549">
                  <c:v>33.603300000000317</c:v>
                </c:pt>
                <c:pt idx="550">
                  <c:v>33.60340000000032</c:v>
                </c:pt>
                <c:pt idx="551">
                  <c:v>33.603500000000324</c:v>
                </c:pt>
                <c:pt idx="552">
                  <c:v>33.603600000000327</c:v>
                </c:pt>
                <c:pt idx="553">
                  <c:v>33.60370000000033</c:v>
                </c:pt>
                <c:pt idx="554">
                  <c:v>33.603800000000334</c:v>
                </c:pt>
                <c:pt idx="555">
                  <c:v>33.603900000000337</c:v>
                </c:pt>
                <c:pt idx="556">
                  <c:v>33.60400000000034</c:v>
                </c:pt>
                <c:pt idx="557">
                  <c:v>33.604100000000344</c:v>
                </c:pt>
                <c:pt idx="558">
                  <c:v>33.604200000000347</c:v>
                </c:pt>
                <c:pt idx="559">
                  <c:v>33.60430000000035</c:v>
                </c:pt>
                <c:pt idx="560">
                  <c:v>33.604400000000354</c:v>
                </c:pt>
                <c:pt idx="561">
                  <c:v>33.604500000000357</c:v>
                </c:pt>
                <c:pt idx="562">
                  <c:v>33.60460000000036</c:v>
                </c:pt>
                <c:pt idx="563">
                  <c:v>33.604700000000364</c:v>
                </c:pt>
                <c:pt idx="564">
                  <c:v>33.604800000000367</c:v>
                </c:pt>
                <c:pt idx="565">
                  <c:v>33.60490000000037</c:v>
                </c:pt>
                <c:pt idx="566">
                  <c:v>33.605000000000373</c:v>
                </c:pt>
                <c:pt idx="567">
                  <c:v>33.605100000000377</c:v>
                </c:pt>
                <c:pt idx="568">
                  <c:v>33.60520000000038</c:v>
                </c:pt>
                <c:pt idx="569">
                  <c:v>33.605300000000383</c:v>
                </c:pt>
                <c:pt idx="570">
                  <c:v>33.605400000000387</c:v>
                </c:pt>
                <c:pt idx="571">
                  <c:v>33.60550000000039</c:v>
                </c:pt>
                <c:pt idx="572">
                  <c:v>33.605600000000393</c:v>
                </c:pt>
                <c:pt idx="573">
                  <c:v>33.605700000000397</c:v>
                </c:pt>
                <c:pt idx="574">
                  <c:v>33.6058000000004</c:v>
                </c:pt>
                <c:pt idx="575">
                  <c:v>33.605900000000403</c:v>
                </c:pt>
                <c:pt idx="576">
                  <c:v>33.606000000000407</c:v>
                </c:pt>
                <c:pt idx="577">
                  <c:v>33.60610000000041</c:v>
                </c:pt>
                <c:pt idx="578">
                  <c:v>33.606200000000413</c:v>
                </c:pt>
                <c:pt idx="579">
                  <c:v>33.606300000000417</c:v>
                </c:pt>
                <c:pt idx="580">
                  <c:v>33.60640000000042</c:v>
                </c:pt>
                <c:pt idx="581">
                  <c:v>33.606500000000423</c:v>
                </c:pt>
                <c:pt idx="582">
                  <c:v>33.606600000000427</c:v>
                </c:pt>
                <c:pt idx="583">
                  <c:v>33.60670000000043</c:v>
                </c:pt>
                <c:pt idx="584">
                  <c:v>33.606800000000433</c:v>
                </c:pt>
                <c:pt idx="585">
                  <c:v>33.606900000000437</c:v>
                </c:pt>
                <c:pt idx="586">
                  <c:v>33.60700000000044</c:v>
                </c:pt>
                <c:pt idx="587">
                  <c:v>33.607100000000443</c:v>
                </c:pt>
                <c:pt idx="588">
                  <c:v>33.607200000000446</c:v>
                </c:pt>
                <c:pt idx="589">
                  <c:v>33.60730000000045</c:v>
                </c:pt>
                <c:pt idx="590">
                  <c:v>33.607400000000453</c:v>
                </c:pt>
                <c:pt idx="591">
                  <c:v>33.607500000000456</c:v>
                </c:pt>
                <c:pt idx="592">
                  <c:v>33.60760000000046</c:v>
                </c:pt>
                <c:pt idx="593">
                  <c:v>33.607700000000463</c:v>
                </c:pt>
                <c:pt idx="594">
                  <c:v>33.607800000000466</c:v>
                </c:pt>
                <c:pt idx="595">
                  <c:v>33.60790000000047</c:v>
                </c:pt>
                <c:pt idx="596">
                  <c:v>33.608000000000473</c:v>
                </c:pt>
                <c:pt idx="597">
                  <c:v>33.608100000000476</c:v>
                </c:pt>
                <c:pt idx="598">
                  <c:v>33.60820000000048</c:v>
                </c:pt>
                <c:pt idx="599">
                  <c:v>33.608300000000483</c:v>
                </c:pt>
                <c:pt idx="600">
                  <c:v>33.608400000000486</c:v>
                </c:pt>
                <c:pt idx="601">
                  <c:v>33.60850000000049</c:v>
                </c:pt>
                <c:pt idx="602">
                  <c:v>33.608600000000493</c:v>
                </c:pt>
                <c:pt idx="603">
                  <c:v>33.608700000000496</c:v>
                </c:pt>
                <c:pt idx="604">
                  <c:v>33.6088000000005</c:v>
                </c:pt>
                <c:pt idx="605">
                  <c:v>33.608900000000503</c:v>
                </c:pt>
                <c:pt idx="606">
                  <c:v>33.609000000000506</c:v>
                </c:pt>
                <c:pt idx="607">
                  <c:v>33.60910000000051</c:v>
                </c:pt>
                <c:pt idx="608">
                  <c:v>33.609200000000513</c:v>
                </c:pt>
                <c:pt idx="609">
                  <c:v>33.609300000000516</c:v>
                </c:pt>
                <c:pt idx="610">
                  <c:v>33.60940000000052</c:v>
                </c:pt>
                <c:pt idx="611">
                  <c:v>33.609500000000523</c:v>
                </c:pt>
                <c:pt idx="612">
                  <c:v>33.609600000000526</c:v>
                </c:pt>
                <c:pt idx="613">
                  <c:v>33.609700000000529</c:v>
                </c:pt>
                <c:pt idx="614">
                  <c:v>33.609800000000533</c:v>
                </c:pt>
                <c:pt idx="615">
                  <c:v>33.609900000000536</c:v>
                </c:pt>
                <c:pt idx="616">
                  <c:v>33.610000000000539</c:v>
                </c:pt>
                <c:pt idx="617">
                  <c:v>33.610100000000543</c:v>
                </c:pt>
                <c:pt idx="618">
                  <c:v>33.610200000000546</c:v>
                </c:pt>
                <c:pt idx="619">
                  <c:v>33.610300000000549</c:v>
                </c:pt>
                <c:pt idx="620">
                  <c:v>33.610400000000553</c:v>
                </c:pt>
                <c:pt idx="621">
                  <c:v>33.610500000000556</c:v>
                </c:pt>
                <c:pt idx="622">
                  <c:v>33.610600000000559</c:v>
                </c:pt>
                <c:pt idx="623">
                  <c:v>33.610700000000563</c:v>
                </c:pt>
                <c:pt idx="624">
                  <c:v>33.610800000000566</c:v>
                </c:pt>
                <c:pt idx="625">
                  <c:v>33.610900000000569</c:v>
                </c:pt>
                <c:pt idx="626">
                  <c:v>33.611000000000573</c:v>
                </c:pt>
                <c:pt idx="627">
                  <c:v>33.611100000000576</c:v>
                </c:pt>
                <c:pt idx="628">
                  <c:v>33.611200000000579</c:v>
                </c:pt>
                <c:pt idx="629">
                  <c:v>33.611300000000583</c:v>
                </c:pt>
                <c:pt idx="630">
                  <c:v>33.611400000000586</c:v>
                </c:pt>
                <c:pt idx="631">
                  <c:v>33.611500000000589</c:v>
                </c:pt>
                <c:pt idx="632">
                  <c:v>33.611600000000593</c:v>
                </c:pt>
                <c:pt idx="633">
                  <c:v>33.611700000000596</c:v>
                </c:pt>
                <c:pt idx="634">
                  <c:v>33.611800000000599</c:v>
                </c:pt>
                <c:pt idx="635">
                  <c:v>33.611900000000603</c:v>
                </c:pt>
                <c:pt idx="636">
                  <c:v>33.612000000000606</c:v>
                </c:pt>
                <c:pt idx="637">
                  <c:v>33.612100000000609</c:v>
                </c:pt>
                <c:pt idx="638">
                  <c:v>33.612200000000612</c:v>
                </c:pt>
                <c:pt idx="639">
                  <c:v>33.612300000000616</c:v>
                </c:pt>
                <c:pt idx="640">
                  <c:v>33.612400000000619</c:v>
                </c:pt>
                <c:pt idx="641">
                  <c:v>33.612500000000622</c:v>
                </c:pt>
                <c:pt idx="642">
                  <c:v>33.612600000000626</c:v>
                </c:pt>
                <c:pt idx="643">
                  <c:v>33.612700000000629</c:v>
                </c:pt>
                <c:pt idx="644">
                  <c:v>33.612800000000632</c:v>
                </c:pt>
                <c:pt idx="645">
                  <c:v>33.612900000000636</c:v>
                </c:pt>
                <c:pt idx="646">
                  <c:v>33.613000000000639</c:v>
                </c:pt>
                <c:pt idx="647">
                  <c:v>33.613100000000642</c:v>
                </c:pt>
                <c:pt idx="648">
                  <c:v>33.613200000000646</c:v>
                </c:pt>
                <c:pt idx="649">
                  <c:v>33.613300000000649</c:v>
                </c:pt>
                <c:pt idx="650">
                  <c:v>33.613400000000652</c:v>
                </c:pt>
                <c:pt idx="651">
                  <c:v>33.613500000000656</c:v>
                </c:pt>
                <c:pt idx="652">
                  <c:v>33.613600000000659</c:v>
                </c:pt>
                <c:pt idx="653">
                  <c:v>33.613700000000662</c:v>
                </c:pt>
                <c:pt idx="654">
                  <c:v>33.613800000000666</c:v>
                </c:pt>
                <c:pt idx="655">
                  <c:v>33.613900000000669</c:v>
                </c:pt>
                <c:pt idx="656">
                  <c:v>33.614000000000672</c:v>
                </c:pt>
                <c:pt idx="657">
                  <c:v>33.614100000000676</c:v>
                </c:pt>
                <c:pt idx="658">
                  <c:v>33.614200000000679</c:v>
                </c:pt>
                <c:pt idx="659">
                  <c:v>33.614300000000682</c:v>
                </c:pt>
                <c:pt idx="660">
                  <c:v>33.614400000000686</c:v>
                </c:pt>
                <c:pt idx="661">
                  <c:v>33.614500000000689</c:v>
                </c:pt>
                <c:pt idx="662">
                  <c:v>33.614600000000692</c:v>
                </c:pt>
                <c:pt idx="663">
                  <c:v>33.614700000000695</c:v>
                </c:pt>
                <c:pt idx="664">
                  <c:v>33.614800000000699</c:v>
                </c:pt>
                <c:pt idx="665">
                  <c:v>33.614900000000702</c:v>
                </c:pt>
                <c:pt idx="666">
                  <c:v>33.615000000000705</c:v>
                </c:pt>
                <c:pt idx="667">
                  <c:v>33.615100000000709</c:v>
                </c:pt>
                <c:pt idx="668">
                  <c:v>33.615200000000712</c:v>
                </c:pt>
                <c:pt idx="669">
                  <c:v>33.615300000000715</c:v>
                </c:pt>
                <c:pt idx="670">
                  <c:v>33.615400000000719</c:v>
                </c:pt>
                <c:pt idx="671">
                  <c:v>33.615500000000722</c:v>
                </c:pt>
                <c:pt idx="672">
                  <c:v>33.615600000000725</c:v>
                </c:pt>
                <c:pt idx="673">
                  <c:v>33.615700000000729</c:v>
                </c:pt>
                <c:pt idx="674">
                  <c:v>33.615800000000732</c:v>
                </c:pt>
                <c:pt idx="675">
                  <c:v>33.615900000000735</c:v>
                </c:pt>
                <c:pt idx="676">
                  <c:v>33.616000000000739</c:v>
                </c:pt>
                <c:pt idx="677">
                  <c:v>33.616100000000742</c:v>
                </c:pt>
                <c:pt idx="678">
                  <c:v>33.616200000000745</c:v>
                </c:pt>
                <c:pt idx="679">
                  <c:v>33.616300000000749</c:v>
                </c:pt>
                <c:pt idx="680">
                  <c:v>33.616400000000752</c:v>
                </c:pt>
                <c:pt idx="681">
                  <c:v>33.616500000000755</c:v>
                </c:pt>
                <c:pt idx="682">
                  <c:v>33.616600000000759</c:v>
                </c:pt>
                <c:pt idx="683">
                  <c:v>33.616700000000762</c:v>
                </c:pt>
                <c:pt idx="684">
                  <c:v>33.616800000000765</c:v>
                </c:pt>
                <c:pt idx="685">
                  <c:v>33.616900000000769</c:v>
                </c:pt>
                <c:pt idx="686">
                  <c:v>33.617000000000772</c:v>
                </c:pt>
                <c:pt idx="687">
                  <c:v>33.617100000000775</c:v>
                </c:pt>
                <c:pt idx="688">
                  <c:v>33.617200000000778</c:v>
                </c:pt>
                <c:pt idx="689">
                  <c:v>33.617300000000782</c:v>
                </c:pt>
                <c:pt idx="690">
                  <c:v>33.617400000000785</c:v>
                </c:pt>
                <c:pt idx="691">
                  <c:v>33.617500000000788</c:v>
                </c:pt>
                <c:pt idx="692">
                  <c:v>33.617600000000792</c:v>
                </c:pt>
                <c:pt idx="693">
                  <c:v>33.617700000000795</c:v>
                </c:pt>
                <c:pt idx="694">
                  <c:v>33.617800000000798</c:v>
                </c:pt>
                <c:pt idx="695">
                  <c:v>33.617900000000802</c:v>
                </c:pt>
                <c:pt idx="696">
                  <c:v>33.618000000000805</c:v>
                </c:pt>
                <c:pt idx="697">
                  <c:v>33.618100000000808</c:v>
                </c:pt>
                <c:pt idx="698">
                  <c:v>33.618200000000812</c:v>
                </c:pt>
                <c:pt idx="699">
                  <c:v>33.618300000000815</c:v>
                </c:pt>
                <c:pt idx="700">
                  <c:v>33.618400000000818</c:v>
                </c:pt>
                <c:pt idx="701">
                  <c:v>33.618500000000822</c:v>
                </c:pt>
                <c:pt idx="702">
                  <c:v>33.618600000000825</c:v>
                </c:pt>
                <c:pt idx="703">
                  <c:v>33.618700000000828</c:v>
                </c:pt>
                <c:pt idx="704">
                  <c:v>33.618800000000832</c:v>
                </c:pt>
                <c:pt idx="705">
                  <c:v>33.618900000000835</c:v>
                </c:pt>
                <c:pt idx="706">
                  <c:v>33.619000000000838</c:v>
                </c:pt>
                <c:pt idx="707">
                  <c:v>33.619100000000842</c:v>
                </c:pt>
                <c:pt idx="708">
                  <c:v>33.619200000000845</c:v>
                </c:pt>
                <c:pt idx="709">
                  <c:v>33.619300000000848</c:v>
                </c:pt>
                <c:pt idx="710">
                  <c:v>33.619400000000851</c:v>
                </c:pt>
                <c:pt idx="711">
                  <c:v>33.619500000000855</c:v>
                </c:pt>
                <c:pt idx="712">
                  <c:v>33.619600000000858</c:v>
                </c:pt>
                <c:pt idx="713">
                  <c:v>33.619700000000861</c:v>
                </c:pt>
                <c:pt idx="714">
                  <c:v>33.619800000000865</c:v>
                </c:pt>
                <c:pt idx="715">
                  <c:v>33.619900000000868</c:v>
                </c:pt>
                <c:pt idx="716">
                  <c:v>33.620000000000871</c:v>
                </c:pt>
                <c:pt idx="717">
                  <c:v>33.620100000000875</c:v>
                </c:pt>
                <c:pt idx="718">
                  <c:v>33.620200000000878</c:v>
                </c:pt>
                <c:pt idx="719">
                  <c:v>33.620300000000881</c:v>
                </c:pt>
                <c:pt idx="720">
                  <c:v>33.620400000000885</c:v>
                </c:pt>
                <c:pt idx="721">
                  <c:v>33.620500000000888</c:v>
                </c:pt>
                <c:pt idx="722">
                  <c:v>33.620600000000891</c:v>
                </c:pt>
                <c:pt idx="723">
                  <c:v>33.620700000000895</c:v>
                </c:pt>
                <c:pt idx="724">
                  <c:v>33.620800000000898</c:v>
                </c:pt>
                <c:pt idx="725">
                  <c:v>33.620900000000901</c:v>
                </c:pt>
                <c:pt idx="726">
                  <c:v>33.621000000000905</c:v>
                </c:pt>
                <c:pt idx="727">
                  <c:v>33.621100000000908</c:v>
                </c:pt>
                <c:pt idx="728">
                  <c:v>33.621200000000911</c:v>
                </c:pt>
                <c:pt idx="729">
                  <c:v>33.621300000000915</c:v>
                </c:pt>
                <c:pt idx="730">
                  <c:v>33.621400000000918</c:v>
                </c:pt>
                <c:pt idx="731">
                  <c:v>33.621500000000921</c:v>
                </c:pt>
                <c:pt idx="732">
                  <c:v>33.621600000000925</c:v>
                </c:pt>
                <c:pt idx="733">
                  <c:v>33.621700000000928</c:v>
                </c:pt>
                <c:pt idx="734">
                  <c:v>33.621800000000931</c:v>
                </c:pt>
                <c:pt idx="735">
                  <c:v>33.621900000000934</c:v>
                </c:pt>
                <c:pt idx="736">
                  <c:v>33.622000000000938</c:v>
                </c:pt>
                <c:pt idx="737">
                  <c:v>33.622100000000941</c:v>
                </c:pt>
                <c:pt idx="738">
                  <c:v>33.622200000000944</c:v>
                </c:pt>
                <c:pt idx="739">
                  <c:v>33.622300000000948</c:v>
                </c:pt>
                <c:pt idx="740">
                  <c:v>33.622400000000951</c:v>
                </c:pt>
                <c:pt idx="741">
                  <c:v>33.622500000000954</c:v>
                </c:pt>
                <c:pt idx="742">
                  <c:v>33.622600000000958</c:v>
                </c:pt>
                <c:pt idx="743">
                  <c:v>33.622700000000961</c:v>
                </c:pt>
                <c:pt idx="744">
                  <c:v>33.622800000000964</c:v>
                </c:pt>
                <c:pt idx="745">
                  <c:v>33.622900000000968</c:v>
                </c:pt>
                <c:pt idx="746">
                  <c:v>33.623000000000971</c:v>
                </c:pt>
                <c:pt idx="747">
                  <c:v>33.623100000000974</c:v>
                </c:pt>
                <c:pt idx="748">
                  <c:v>33.623200000000978</c:v>
                </c:pt>
                <c:pt idx="749">
                  <c:v>33.623300000000981</c:v>
                </c:pt>
                <c:pt idx="750">
                  <c:v>33.623400000000984</c:v>
                </c:pt>
                <c:pt idx="751">
                  <c:v>33.623500000000988</c:v>
                </c:pt>
                <c:pt idx="752">
                  <c:v>33.623600000000991</c:v>
                </c:pt>
                <c:pt idx="753">
                  <c:v>33.623700000000994</c:v>
                </c:pt>
                <c:pt idx="754">
                  <c:v>33.623800000000998</c:v>
                </c:pt>
                <c:pt idx="755">
                  <c:v>33.623900000001001</c:v>
                </c:pt>
                <c:pt idx="756">
                  <c:v>33.624000000001004</c:v>
                </c:pt>
                <c:pt idx="757">
                  <c:v>33.624100000001008</c:v>
                </c:pt>
                <c:pt idx="758">
                  <c:v>33.624200000001011</c:v>
                </c:pt>
                <c:pt idx="759">
                  <c:v>33.624300000001014</c:v>
                </c:pt>
                <c:pt idx="760">
                  <c:v>33.624400000001017</c:v>
                </c:pt>
                <c:pt idx="761">
                  <c:v>33.624500000001021</c:v>
                </c:pt>
                <c:pt idx="762">
                  <c:v>33.624600000001024</c:v>
                </c:pt>
                <c:pt idx="763">
                  <c:v>33.624700000001027</c:v>
                </c:pt>
                <c:pt idx="764">
                  <c:v>33.624800000001031</c:v>
                </c:pt>
                <c:pt idx="765">
                  <c:v>33.624900000001034</c:v>
                </c:pt>
                <c:pt idx="766">
                  <c:v>33.625000000001037</c:v>
                </c:pt>
                <c:pt idx="767">
                  <c:v>33.625100000001041</c:v>
                </c:pt>
                <c:pt idx="768">
                  <c:v>33.625200000001044</c:v>
                </c:pt>
                <c:pt idx="769">
                  <c:v>33.625300000001047</c:v>
                </c:pt>
                <c:pt idx="770">
                  <c:v>33.625400000001051</c:v>
                </c:pt>
                <c:pt idx="771">
                  <c:v>33.625500000001054</c:v>
                </c:pt>
                <c:pt idx="772">
                  <c:v>33.625600000001057</c:v>
                </c:pt>
                <c:pt idx="773">
                  <c:v>33.625700000001061</c:v>
                </c:pt>
                <c:pt idx="774">
                  <c:v>33.625800000001064</c:v>
                </c:pt>
                <c:pt idx="775">
                  <c:v>33.625900000001067</c:v>
                </c:pt>
                <c:pt idx="776">
                  <c:v>33.626000000001071</c:v>
                </c:pt>
                <c:pt idx="777">
                  <c:v>33.626100000001074</c:v>
                </c:pt>
                <c:pt idx="778">
                  <c:v>33.626200000001077</c:v>
                </c:pt>
                <c:pt idx="779">
                  <c:v>33.626300000001081</c:v>
                </c:pt>
                <c:pt idx="780">
                  <c:v>33.626400000001084</c:v>
                </c:pt>
                <c:pt idx="781">
                  <c:v>33.626500000001087</c:v>
                </c:pt>
                <c:pt idx="782">
                  <c:v>33.626600000001091</c:v>
                </c:pt>
                <c:pt idx="783">
                  <c:v>33.626700000001094</c:v>
                </c:pt>
                <c:pt idx="784">
                  <c:v>33.626800000001097</c:v>
                </c:pt>
                <c:pt idx="785">
                  <c:v>33.6269000000011</c:v>
                </c:pt>
                <c:pt idx="786">
                  <c:v>33.627000000001104</c:v>
                </c:pt>
                <c:pt idx="787">
                  <c:v>33.627100000001107</c:v>
                </c:pt>
                <c:pt idx="788">
                  <c:v>33.62720000000111</c:v>
                </c:pt>
                <c:pt idx="789">
                  <c:v>33.627300000001114</c:v>
                </c:pt>
                <c:pt idx="790">
                  <c:v>33.627400000001117</c:v>
                </c:pt>
                <c:pt idx="791">
                  <c:v>33.62750000000112</c:v>
                </c:pt>
                <c:pt idx="792">
                  <c:v>33.627600000001124</c:v>
                </c:pt>
                <c:pt idx="793">
                  <c:v>33.627700000001127</c:v>
                </c:pt>
                <c:pt idx="794">
                  <c:v>33.62780000000113</c:v>
                </c:pt>
                <c:pt idx="795">
                  <c:v>33.627900000001134</c:v>
                </c:pt>
                <c:pt idx="796">
                  <c:v>33.628000000001137</c:v>
                </c:pt>
                <c:pt idx="797">
                  <c:v>33.62810000000114</c:v>
                </c:pt>
                <c:pt idx="798">
                  <c:v>33.628200000001144</c:v>
                </c:pt>
                <c:pt idx="799">
                  <c:v>33.628300000001147</c:v>
                </c:pt>
                <c:pt idx="800">
                  <c:v>33.62840000000115</c:v>
                </c:pt>
                <c:pt idx="801">
                  <c:v>33.628500000001154</c:v>
                </c:pt>
                <c:pt idx="802">
                  <c:v>33.628600000001157</c:v>
                </c:pt>
                <c:pt idx="803">
                  <c:v>33.62870000000116</c:v>
                </c:pt>
                <c:pt idx="804">
                  <c:v>33.628800000001164</c:v>
                </c:pt>
                <c:pt idx="805">
                  <c:v>33.628900000001167</c:v>
                </c:pt>
                <c:pt idx="806">
                  <c:v>33.62900000000117</c:v>
                </c:pt>
                <c:pt idx="807">
                  <c:v>33.629100000001173</c:v>
                </c:pt>
                <c:pt idx="808">
                  <c:v>33.629200000001177</c:v>
                </c:pt>
                <c:pt idx="809">
                  <c:v>33.62930000000118</c:v>
                </c:pt>
                <c:pt idx="810">
                  <c:v>33.629400000001183</c:v>
                </c:pt>
                <c:pt idx="811">
                  <c:v>33.629500000001187</c:v>
                </c:pt>
                <c:pt idx="812">
                  <c:v>33.62960000000119</c:v>
                </c:pt>
                <c:pt idx="813">
                  <c:v>33.629700000001193</c:v>
                </c:pt>
                <c:pt idx="814">
                  <c:v>33.629800000001197</c:v>
                </c:pt>
                <c:pt idx="815">
                  <c:v>33.6299000000012</c:v>
                </c:pt>
                <c:pt idx="816">
                  <c:v>33.630000000001203</c:v>
                </c:pt>
                <c:pt idx="817">
                  <c:v>33.630100000001207</c:v>
                </c:pt>
                <c:pt idx="818">
                  <c:v>33.63020000000121</c:v>
                </c:pt>
                <c:pt idx="819">
                  <c:v>33.630300000001213</c:v>
                </c:pt>
                <c:pt idx="820">
                  <c:v>33.630400000001217</c:v>
                </c:pt>
                <c:pt idx="821">
                  <c:v>33.63050000000122</c:v>
                </c:pt>
                <c:pt idx="822">
                  <c:v>33.630600000001223</c:v>
                </c:pt>
                <c:pt idx="823">
                  <c:v>33.630700000001227</c:v>
                </c:pt>
                <c:pt idx="824">
                  <c:v>33.63080000000123</c:v>
                </c:pt>
                <c:pt idx="825">
                  <c:v>33.630900000001233</c:v>
                </c:pt>
                <c:pt idx="826">
                  <c:v>33.631000000001237</c:v>
                </c:pt>
                <c:pt idx="827">
                  <c:v>33.63110000000124</c:v>
                </c:pt>
                <c:pt idx="828">
                  <c:v>33.631200000001243</c:v>
                </c:pt>
                <c:pt idx="829">
                  <c:v>33.631300000001247</c:v>
                </c:pt>
                <c:pt idx="830">
                  <c:v>33.63140000000125</c:v>
                </c:pt>
                <c:pt idx="831">
                  <c:v>33.631500000001253</c:v>
                </c:pt>
                <c:pt idx="832">
                  <c:v>33.631600000001256</c:v>
                </c:pt>
                <c:pt idx="833">
                  <c:v>33.63170000000126</c:v>
                </c:pt>
                <c:pt idx="834">
                  <c:v>33.631800000001263</c:v>
                </c:pt>
                <c:pt idx="835">
                  <c:v>33.631900000001266</c:v>
                </c:pt>
                <c:pt idx="836">
                  <c:v>33.63200000000127</c:v>
                </c:pt>
                <c:pt idx="837">
                  <c:v>33.632100000001273</c:v>
                </c:pt>
                <c:pt idx="838">
                  <c:v>33.632200000001276</c:v>
                </c:pt>
                <c:pt idx="839">
                  <c:v>33.63230000000128</c:v>
                </c:pt>
                <c:pt idx="840">
                  <c:v>33.632400000001283</c:v>
                </c:pt>
                <c:pt idx="841">
                  <c:v>33.632500000001286</c:v>
                </c:pt>
                <c:pt idx="842">
                  <c:v>33.63260000000129</c:v>
                </c:pt>
                <c:pt idx="843">
                  <c:v>33.632700000001293</c:v>
                </c:pt>
                <c:pt idx="844">
                  <c:v>33.632800000001296</c:v>
                </c:pt>
                <c:pt idx="845">
                  <c:v>33.6329000000013</c:v>
                </c:pt>
                <c:pt idx="846">
                  <c:v>33.633000000001303</c:v>
                </c:pt>
                <c:pt idx="847">
                  <c:v>33.633100000001306</c:v>
                </c:pt>
                <c:pt idx="848">
                  <c:v>33.63320000000131</c:v>
                </c:pt>
                <c:pt idx="849">
                  <c:v>33.633300000001313</c:v>
                </c:pt>
                <c:pt idx="850">
                  <c:v>33.633400000001316</c:v>
                </c:pt>
                <c:pt idx="851">
                  <c:v>33.63350000000132</c:v>
                </c:pt>
                <c:pt idx="852">
                  <c:v>33.633600000001323</c:v>
                </c:pt>
                <c:pt idx="853">
                  <c:v>33.633700000001326</c:v>
                </c:pt>
                <c:pt idx="854">
                  <c:v>33.63380000000133</c:v>
                </c:pt>
                <c:pt idx="855">
                  <c:v>33.633900000001333</c:v>
                </c:pt>
                <c:pt idx="856">
                  <c:v>33.634000000001336</c:v>
                </c:pt>
                <c:pt idx="857">
                  <c:v>33.634100000001339</c:v>
                </c:pt>
                <c:pt idx="858">
                  <c:v>33.634200000001343</c:v>
                </c:pt>
                <c:pt idx="859">
                  <c:v>33.634300000001346</c:v>
                </c:pt>
                <c:pt idx="860">
                  <c:v>33.634400000001349</c:v>
                </c:pt>
                <c:pt idx="861">
                  <c:v>33.634500000001353</c:v>
                </c:pt>
                <c:pt idx="862">
                  <c:v>33.634600000001356</c:v>
                </c:pt>
                <c:pt idx="863">
                  <c:v>33.634700000001359</c:v>
                </c:pt>
                <c:pt idx="864">
                  <c:v>33.634800000001363</c:v>
                </c:pt>
                <c:pt idx="865">
                  <c:v>33.634900000001366</c:v>
                </c:pt>
                <c:pt idx="866">
                  <c:v>33.635000000001369</c:v>
                </c:pt>
                <c:pt idx="867">
                  <c:v>33.635100000001373</c:v>
                </c:pt>
                <c:pt idx="868">
                  <c:v>33.635200000001376</c:v>
                </c:pt>
                <c:pt idx="869">
                  <c:v>33.635300000001379</c:v>
                </c:pt>
                <c:pt idx="870">
                  <c:v>33.635400000001383</c:v>
                </c:pt>
                <c:pt idx="871">
                  <c:v>33.635500000001386</c:v>
                </c:pt>
                <c:pt idx="872">
                  <c:v>33.635600000001389</c:v>
                </c:pt>
                <c:pt idx="873">
                  <c:v>33.635700000001393</c:v>
                </c:pt>
                <c:pt idx="874">
                  <c:v>33.635800000001396</c:v>
                </c:pt>
                <c:pt idx="875">
                  <c:v>33.635900000001399</c:v>
                </c:pt>
                <c:pt idx="876">
                  <c:v>33.636000000001403</c:v>
                </c:pt>
                <c:pt idx="877">
                  <c:v>33.636100000001406</c:v>
                </c:pt>
                <c:pt idx="878">
                  <c:v>33.636200000001409</c:v>
                </c:pt>
                <c:pt idx="879">
                  <c:v>33.636300000001413</c:v>
                </c:pt>
                <c:pt idx="880">
                  <c:v>33.636400000001416</c:v>
                </c:pt>
                <c:pt idx="881">
                  <c:v>33.636500000001419</c:v>
                </c:pt>
                <c:pt idx="882">
                  <c:v>33.636600000001422</c:v>
                </c:pt>
                <c:pt idx="883">
                  <c:v>33.636700000001426</c:v>
                </c:pt>
                <c:pt idx="884">
                  <c:v>33.636800000001429</c:v>
                </c:pt>
                <c:pt idx="885">
                  <c:v>33.636900000001432</c:v>
                </c:pt>
                <c:pt idx="886">
                  <c:v>33.637000000001436</c:v>
                </c:pt>
                <c:pt idx="887">
                  <c:v>33.637100000001439</c:v>
                </c:pt>
                <c:pt idx="888">
                  <c:v>33.637200000001442</c:v>
                </c:pt>
                <c:pt idx="889">
                  <c:v>33.637300000001446</c:v>
                </c:pt>
                <c:pt idx="890">
                  <c:v>33.637400000001449</c:v>
                </c:pt>
                <c:pt idx="891">
                  <c:v>33.637500000001452</c:v>
                </c:pt>
                <c:pt idx="892">
                  <c:v>33.637600000001456</c:v>
                </c:pt>
                <c:pt idx="893">
                  <c:v>33.637700000001459</c:v>
                </c:pt>
                <c:pt idx="894">
                  <c:v>33.637800000001462</c:v>
                </c:pt>
                <c:pt idx="895">
                  <c:v>33.637900000001466</c:v>
                </c:pt>
                <c:pt idx="896">
                  <c:v>33.638000000001469</c:v>
                </c:pt>
                <c:pt idx="897">
                  <c:v>33.638100000001472</c:v>
                </c:pt>
                <c:pt idx="898">
                  <c:v>33.638200000001476</c:v>
                </c:pt>
                <c:pt idx="899">
                  <c:v>33.638300000001479</c:v>
                </c:pt>
                <c:pt idx="900">
                  <c:v>33.638400000001482</c:v>
                </c:pt>
                <c:pt idx="901">
                  <c:v>33.638500000001486</c:v>
                </c:pt>
                <c:pt idx="902">
                  <c:v>33.638600000001489</c:v>
                </c:pt>
                <c:pt idx="903">
                  <c:v>33.638700000001492</c:v>
                </c:pt>
                <c:pt idx="904">
                  <c:v>33.638800000001496</c:v>
                </c:pt>
                <c:pt idx="905">
                  <c:v>33.638900000001499</c:v>
                </c:pt>
                <c:pt idx="906">
                  <c:v>33.639000000001502</c:v>
                </c:pt>
                <c:pt idx="907">
                  <c:v>33.639100000001505</c:v>
                </c:pt>
                <c:pt idx="908">
                  <c:v>33.639200000001509</c:v>
                </c:pt>
                <c:pt idx="909">
                  <c:v>33.639300000001512</c:v>
                </c:pt>
                <c:pt idx="910">
                  <c:v>33.639400000001515</c:v>
                </c:pt>
                <c:pt idx="911">
                  <c:v>33.639500000001519</c:v>
                </c:pt>
                <c:pt idx="912">
                  <c:v>33.639600000001522</c:v>
                </c:pt>
                <c:pt idx="913">
                  <c:v>33.639700000001525</c:v>
                </c:pt>
                <c:pt idx="914">
                  <c:v>33.639800000001529</c:v>
                </c:pt>
                <c:pt idx="915">
                  <c:v>33.639900000001532</c:v>
                </c:pt>
                <c:pt idx="916">
                  <c:v>33.640000000001535</c:v>
                </c:pt>
                <c:pt idx="917">
                  <c:v>33.640100000001539</c:v>
                </c:pt>
                <c:pt idx="918">
                  <c:v>33.640200000001542</c:v>
                </c:pt>
                <c:pt idx="919">
                  <c:v>33.640300000001545</c:v>
                </c:pt>
                <c:pt idx="920">
                  <c:v>33.640400000001549</c:v>
                </c:pt>
                <c:pt idx="921">
                  <c:v>33.640500000001552</c:v>
                </c:pt>
                <c:pt idx="922">
                  <c:v>33.640600000001555</c:v>
                </c:pt>
                <c:pt idx="923">
                  <c:v>33.640700000001559</c:v>
                </c:pt>
                <c:pt idx="924">
                  <c:v>33.640800000001562</c:v>
                </c:pt>
                <c:pt idx="925">
                  <c:v>33.640900000001565</c:v>
                </c:pt>
                <c:pt idx="926">
                  <c:v>33.641000000001569</c:v>
                </c:pt>
                <c:pt idx="927">
                  <c:v>33.641100000001572</c:v>
                </c:pt>
                <c:pt idx="928">
                  <c:v>33.641200000001575</c:v>
                </c:pt>
                <c:pt idx="929">
                  <c:v>33.641300000001578</c:v>
                </c:pt>
                <c:pt idx="930">
                  <c:v>33.641400000001582</c:v>
                </c:pt>
                <c:pt idx="931">
                  <c:v>33.641500000001585</c:v>
                </c:pt>
                <c:pt idx="932">
                  <c:v>33.641600000001588</c:v>
                </c:pt>
                <c:pt idx="933">
                  <c:v>33.641700000001592</c:v>
                </c:pt>
                <c:pt idx="934">
                  <c:v>33.641800000001595</c:v>
                </c:pt>
                <c:pt idx="935">
                  <c:v>33.641900000001598</c:v>
                </c:pt>
                <c:pt idx="936">
                  <c:v>33.642000000001602</c:v>
                </c:pt>
                <c:pt idx="937">
                  <c:v>33.642100000001605</c:v>
                </c:pt>
                <c:pt idx="938">
                  <c:v>33.642200000001608</c:v>
                </c:pt>
                <c:pt idx="939">
                  <c:v>33.642300000001612</c:v>
                </c:pt>
                <c:pt idx="940">
                  <c:v>33.642400000001615</c:v>
                </c:pt>
                <c:pt idx="941">
                  <c:v>33.642500000001618</c:v>
                </c:pt>
                <c:pt idx="942">
                  <c:v>33.642600000001622</c:v>
                </c:pt>
                <c:pt idx="943">
                  <c:v>33.642700000001625</c:v>
                </c:pt>
                <c:pt idx="944">
                  <c:v>33.642800000001628</c:v>
                </c:pt>
                <c:pt idx="945">
                  <c:v>33.642900000001632</c:v>
                </c:pt>
                <c:pt idx="946">
                  <c:v>33.643000000001635</c:v>
                </c:pt>
                <c:pt idx="947">
                  <c:v>33.643100000001638</c:v>
                </c:pt>
                <c:pt idx="948">
                  <c:v>33.643200000001642</c:v>
                </c:pt>
                <c:pt idx="949">
                  <c:v>33.643300000001645</c:v>
                </c:pt>
                <c:pt idx="950">
                  <c:v>33.643400000001648</c:v>
                </c:pt>
                <c:pt idx="951">
                  <c:v>33.643500000001652</c:v>
                </c:pt>
                <c:pt idx="952">
                  <c:v>33.643600000001655</c:v>
                </c:pt>
                <c:pt idx="953">
                  <c:v>33.643700000001658</c:v>
                </c:pt>
                <c:pt idx="954">
                  <c:v>33.643800000001661</c:v>
                </c:pt>
                <c:pt idx="955">
                  <c:v>33.643900000001665</c:v>
                </c:pt>
                <c:pt idx="956">
                  <c:v>33.644000000001668</c:v>
                </c:pt>
                <c:pt idx="957">
                  <c:v>33.644100000001671</c:v>
                </c:pt>
                <c:pt idx="958">
                  <c:v>33.644200000001675</c:v>
                </c:pt>
                <c:pt idx="959">
                  <c:v>33.644300000001678</c:v>
                </c:pt>
                <c:pt idx="960">
                  <c:v>33.644400000001681</c:v>
                </c:pt>
                <c:pt idx="961">
                  <c:v>33.644500000001685</c:v>
                </c:pt>
                <c:pt idx="962">
                  <c:v>33.644600000001688</c:v>
                </c:pt>
                <c:pt idx="963">
                  <c:v>33.644700000001691</c:v>
                </c:pt>
                <c:pt idx="964">
                  <c:v>33.644800000001695</c:v>
                </c:pt>
                <c:pt idx="965">
                  <c:v>33.644900000001698</c:v>
                </c:pt>
                <c:pt idx="966">
                  <c:v>33.645000000001701</c:v>
                </c:pt>
                <c:pt idx="967">
                  <c:v>33.645100000001705</c:v>
                </c:pt>
                <c:pt idx="968">
                  <c:v>33.645200000001708</c:v>
                </c:pt>
                <c:pt idx="969">
                  <c:v>33.645300000001711</c:v>
                </c:pt>
                <c:pt idx="970">
                  <c:v>33.645400000001715</c:v>
                </c:pt>
                <c:pt idx="971">
                  <c:v>33.645500000001718</c:v>
                </c:pt>
                <c:pt idx="972">
                  <c:v>33.645600000001721</c:v>
                </c:pt>
                <c:pt idx="973">
                  <c:v>33.645700000001725</c:v>
                </c:pt>
                <c:pt idx="974">
                  <c:v>33.645800000001728</c:v>
                </c:pt>
                <c:pt idx="975">
                  <c:v>33.645900000001731</c:v>
                </c:pt>
                <c:pt idx="976">
                  <c:v>33.646000000001735</c:v>
                </c:pt>
                <c:pt idx="977">
                  <c:v>33.646100000001738</c:v>
                </c:pt>
                <c:pt idx="978">
                  <c:v>33.646200000001741</c:v>
                </c:pt>
                <c:pt idx="979">
                  <c:v>33.646300000001744</c:v>
                </c:pt>
                <c:pt idx="980">
                  <c:v>33.646400000001748</c:v>
                </c:pt>
                <c:pt idx="981">
                  <c:v>33.646500000001751</c:v>
                </c:pt>
                <c:pt idx="982">
                  <c:v>33.646600000001754</c:v>
                </c:pt>
                <c:pt idx="983">
                  <c:v>33.646700000001758</c:v>
                </c:pt>
                <c:pt idx="984">
                  <c:v>33.646800000001761</c:v>
                </c:pt>
                <c:pt idx="985">
                  <c:v>33.646900000001764</c:v>
                </c:pt>
                <c:pt idx="986">
                  <c:v>33.647000000001768</c:v>
                </c:pt>
                <c:pt idx="987">
                  <c:v>33.647100000001771</c:v>
                </c:pt>
                <c:pt idx="988">
                  <c:v>33.647200000001774</c:v>
                </c:pt>
                <c:pt idx="989">
                  <c:v>33.647300000001778</c:v>
                </c:pt>
                <c:pt idx="990">
                  <c:v>33.647400000001781</c:v>
                </c:pt>
                <c:pt idx="991">
                  <c:v>33.647500000001784</c:v>
                </c:pt>
                <c:pt idx="992">
                  <c:v>33.647600000001788</c:v>
                </c:pt>
                <c:pt idx="993">
                  <c:v>33.647700000001791</c:v>
                </c:pt>
                <c:pt idx="994">
                  <c:v>33.647800000001794</c:v>
                </c:pt>
                <c:pt idx="995">
                  <c:v>33.647900000001798</c:v>
                </c:pt>
                <c:pt idx="996">
                  <c:v>33.648000000001801</c:v>
                </c:pt>
                <c:pt idx="997">
                  <c:v>33.648100000001804</c:v>
                </c:pt>
                <c:pt idx="998">
                  <c:v>33.648200000001808</c:v>
                </c:pt>
                <c:pt idx="999">
                  <c:v>33.648300000001811</c:v>
                </c:pt>
                <c:pt idx="1000">
                  <c:v>33.648400000001814</c:v>
                </c:pt>
              </c:numCache>
            </c:numRef>
          </c:xVal>
          <c:yVal>
            <c:numRef>
              <c:f>Calculs!$AG$4:$AG$1004</c:f>
              <c:numCache>
                <c:formatCode>0.00</c:formatCode>
                <c:ptCount val="1001"/>
                <c:pt idx="0">
                  <c:v>0</c:v>
                </c:pt>
                <c:pt idx="1">
                  <c:v>17.815119582080342</c:v>
                </c:pt>
                <c:pt idx="2">
                  <c:v>94.307808407009531</c:v>
                </c:pt>
                <c:pt idx="3">
                  <c:v>140.92293998714487</c:v>
                </c:pt>
                <c:pt idx="4">
                  <c:v>136.0527868458141</c:v>
                </c:pt>
                <c:pt idx="5">
                  <c:v>131.17058139272615</c:v>
                </c:pt>
                <c:pt idx="6">
                  <c:v>129.25686529671987</c:v>
                </c:pt>
                <c:pt idx="7">
                  <c:v>130.31982923660325</c:v>
                </c:pt>
                <c:pt idx="8">
                  <c:v>131.38334099389849</c:v>
                </c:pt>
                <c:pt idx="9">
                  <c:v>132.44737927904177</c:v>
                </c:pt>
                <c:pt idx="10">
                  <c:v>133.51192244000239</c:v>
                </c:pt>
                <c:pt idx="11">
                  <c:v>134.26762979294924</c:v>
                </c:pt>
                <c:pt idx="12">
                  <c:v>134.71363140889966</c:v>
                </c:pt>
                <c:pt idx="13">
                  <c:v>135.15882208892748</c:v>
                </c:pt>
                <c:pt idx="14">
                  <c:v>135.60318628368174</c:v>
                </c:pt>
                <c:pt idx="15">
                  <c:v>136.04670839370067</c:v>
                </c:pt>
                <c:pt idx="16">
                  <c:v>136.48937277055151</c:v>
                </c:pt>
                <c:pt idx="17">
                  <c:v>136.93116371798735</c:v>
                </c:pt>
                <c:pt idx="18">
                  <c:v>137.37206549312086</c:v>
                </c:pt>
                <c:pt idx="19">
                  <c:v>137.81206230761526</c:v>
                </c:pt>
                <c:pt idx="20">
                  <c:v>138.25113832889247</c:v>
                </c:pt>
                <c:pt idx="21">
                  <c:v>138.56510701921087</c:v>
                </c:pt>
                <c:pt idx="22">
                  <c:v>138.75361905841939</c:v>
                </c:pt>
                <c:pt idx="23">
                  <c:v>138.94068197304387</c:v>
                </c:pt>
                <c:pt idx="24">
                  <c:v>139.12628637237322</c:v>
                </c:pt>
                <c:pt idx="25">
                  <c:v>139.31042291613599</c:v>
                </c:pt>
                <c:pt idx="26">
                  <c:v>139.49308231557799</c:v>
                </c:pt>
                <c:pt idx="27">
                  <c:v>139.67425533454002</c:v>
                </c:pt>
                <c:pt idx="28">
                  <c:v>139.85474490104937</c:v>
                </c:pt>
                <c:pt idx="29">
                  <c:v>140.0337168622732</c:v>
                </c:pt>
                <c:pt idx="30">
                  <c:v>140.21114927482077</c:v>
                </c:pt>
                <c:pt idx="31">
                  <c:v>140.38703475757268</c:v>
                </c:pt>
                <c:pt idx="32">
                  <c:v>140.56136582793334</c:v>
                </c:pt>
                <c:pt idx="33">
                  <c:v>140.73413492304235</c:v>
                </c:pt>
                <c:pt idx="34">
                  <c:v>140.90533441788281</c:v>
                </c:pt>
                <c:pt idx="35">
                  <c:v>141.07495664084547</c:v>
                </c:pt>
                <c:pt idx="36">
                  <c:v>141.24299388719101</c:v>
                </c:pt>
                <c:pt idx="37">
                  <c:v>141.40943843076721</c:v>
                </c:pt>
                <c:pt idx="38">
                  <c:v>141.5742825342673</c:v>
                </c:pt>
                <c:pt idx="39">
                  <c:v>141.73751845826271</c:v>
                </c:pt>
                <c:pt idx="40">
                  <c:v>141.89913846920101</c:v>
                </c:pt>
                <c:pt idx="41">
                  <c:v>141.96238664447949</c:v>
                </c:pt>
                <c:pt idx="42">
                  <c:v>141.92701401212224</c:v>
                </c:pt>
                <c:pt idx="43">
                  <c:v>141.88966995781428</c:v>
                </c:pt>
                <c:pt idx="44">
                  <c:v>141.8503537404637</c:v>
                </c:pt>
                <c:pt idx="45">
                  <c:v>141.80906469952757</c:v>
                </c:pt>
                <c:pt idx="46">
                  <c:v>141.76580225885419</c:v>
                </c:pt>
                <c:pt idx="47">
                  <c:v>141.72056593011496</c:v>
                </c:pt>
                <c:pt idx="48">
                  <c:v>141.67335531587869</c:v>
                </c:pt>
                <c:pt idx="49">
                  <c:v>141.62417011237261</c:v>
                </c:pt>
                <c:pt idx="50">
                  <c:v>141.57301011196648</c:v>
                </c:pt>
                <c:pt idx="51">
                  <c:v>141.51987520541289</c:v>
                </c:pt>
                <c:pt idx="52">
                  <c:v>141.46476538387068</c:v>
                </c:pt>
                <c:pt idx="53">
                  <c:v>141.40768074073557</c:v>
                </c:pt>
                <c:pt idx="54">
                  <c:v>141.34862147329815</c:v>
                </c:pt>
                <c:pt idx="55">
                  <c:v>141.2875878842475</c:v>
                </c:pt>
                <c:pt idx="56">
                  <c:v>141.22458038303475</c:v>
                </c:pt>
                <c:pt idx="57">
                  <c:v>141.15959948711185</c:v>
                </c:pt>
                <c:pt idx="58">
                  <c:v>141.09264582305551</c:v>
                </c:pt>
                <c:pt idx="59">
                  <c:v>141.02372012758727</c:v>
                </c:pt>
                <c:pt idx="60">
                  <c:v>140.95282324849953</c:v>
                </c:pt>
                <c:pt idx="61">
                  <c:v>140.87995614549396</c:v>
                </c:pt>
                <c:pt idx="62">
                  <c:v>140.80511989094077</c:v>
                </c:pt>
                <c:pt idx="63">
                  <c:v>140.72831567056411</c:v>
                </c:pt>
                <c:pt idx="64">
                  <c:v>140.64954478405934</c:v>
                </c:pt>
                <c:pt idx="65">
                  <c:v>140.56880864564769</c:v>
                </c:pt>
                <c:pt idx="66">
                  <c:v>140.4861087845714</c:v>
                </c:pt>
                <c:pt idx="67">
                  <c:v>140.40144684553459</c:v>
                </c:pt>
                <c:pt idx="68">
                  <c:v>140.3148245890923</c:v>
                </c:pt>
                <c:pt idx="69">
                  <c:v>140.2262438919918</c:v>
                </c:pt>
                <c:pt idx="70">
                  <c:v>140.13570674746745</c:v>
                </c:pt>
                <c:pt idx="71">
                  <c:v>140.0432152654935</c:v>
                </c:pt>
                <c:pt idx="72">
                  <c:v>139.94877167299592</c:v>
                </c:pt>
                <c:pt idx="73">
                  <c:v>139.85237831402512</c:v>
                </c:pt>
                <c:pt idx="74">
                  <c:v>139.75403764989238</c:v>
                </c:pt>
                <c:pt idx="75">
                  <c:v>139.65375225927113</c:v>
                </c:pt>
                <c:pt idx="76">
                  <c:v>139.55152483826402</c:v>
                </c:pt>
                <c:pt idx="77">
                  <c:v>139.4473582004386</c:v>
                </c:pt>
                <c:pt idx="78">
                  <c:v>139.34125527683133</c:v>
                </c:pt>
                <c:pt idx="79">
                  <c:v>139.23321911592222</c:v>
                </c:pt>
                <c:pt idx="80">
                  <c:v>139.12325288358068</c:v>
                </c:pt>
                <c:pt idx="81">
                  <c:v>138.91280240701553</c:v>
                </c:pt>
                <c:pt idx="82">
                  <c:v>138.60167996706144</c:v>
                </c:pt>
                <c:pt idx="83">
                  <c:v>138.28841043719612</c:v>
                </c:pt>
                <c:pt idx="84">
                  <c:v>137.97300610049521</c:v>
                </c:pt>
                <c:pt idx="85">
                  <c:v>137.65547936682049</c:v>
                </c:pt>
                <c:pt idx="86">
                  <c:v>137.33584277138343</c:v>
                </c:pt>
                <c:pt idx="87">
                  <c:v>137.01410897328287</c:v>
                </c:pt>
                <c:pt idx="88">
                  <c:v>136.6902907540186</c:v>
                </c:pt>
                <c:pt idx="89">
                  <c:v>136.36440101598066</c:v>
                </c:pt>
                <c:pt idx="90">
                  <c:v>136.03645278091605</c:v>
                </c:pt>
                <c:pt idx="91">
                  <c:v>135.66287585334416</c:v>
                </c:pt>
                <c:pt idx="92">
                  <c:v>135.24360704470604</c:v>
                </c:pt>
                <c:pt idx="93">
                  <c:v>134.8222345785575</c:v>
                </c:pt>
                <c:pt idx="94">
                  <c:v>134.39877611025807</c:v>
                </c:pt>
                <c:pt idx="95">
                  <c:v>133.97324940175605</c:v>
                </c:pt>
                <c:pt idx="96">
                  <c:v>133.54567231928681</c:v>
                </c:pt>
                <c:pt idx="97">
                  <c:v>133.11606283105613</c:v>
                </c:pt>
                <c:pt idx="98">
                  <c:v>132.68443900490985</c:v>
                </c:pt>
                <c:pt idx="99">
                  <c:v>132.25081900599091</c:v>
                </c:pt>
                <c:pt idx="100">
                  <c:v>131.81522109438436</c:v>
                </c:pt>
                <c:pt idx="101">
                  <c:v>131.37068656129787</c:v>
                </c:pt>
                <c:pt idx="102">
                  <c:v>130.9172229921235</c:v>
                </c:pt>
                <c:pt idx="103">
                  <c:v>130.46182582762614</c:v>
                </c:pt>
                <c:pt idx="104">
                  <c:v>130.00451436510838</c:v>
                </c:pt>
                <c:pt idx="105">
                  <c:v>129.54530798317691</c:v>
                </c:pt>
                <c:pt idx="106">
                  <c:v>129.08422613922568</c:v>
                </c:pt>
                <c:pt idx="107">
                  <c:v>128.62128836691375</c:v>
                </c:pt>
                <c:pt idx="108">
                  <c:v>128.1565142736375</c:v>
                </c:pt>
                <c:pt idx="109">
                  <c:v>127.68992353799892</c:v>
                </c:pt>
                <c:pt idx="110">
                  <c:v>127.22153590727012</c:v>
                </c:pt>
                <c:pt idx="111">
                  <c:v>126.83176911916868</c:v>
                </c:pt>
                <c:pt idx="112">
                  <c:v>126.52075257571745</c:v>
                </c:pt>
                <c:pt idx="113">
                  <c:v>126.20809682495285</c:v>
                </c:pt>
                <c:pt idx="114">
                  <c:v>125.89381446878276</c:v>
                </c:pt>
                <c:pt idx="115">
                  <c:v>125.57791818538252</c:v>
                </c:pt>
                <c:pt idx="116">
                  <c:v>125.26042072772134</c:v>
                </c:pt>
                <c:pt idx="117">
                  <c:v>124.94133492208171</c:v>
                </c:pt>
                <c:pt idx="118">
                  <c:v>124.62067366657139</c:v>
                </c:pt>
                <c:pt idx="119">
                  <c:v>124.298449929629</c:v>
                </c:pt>
                <c:pt idx="120">
                  <c:v>123.97467674852325</c:v>
                </c:pt>
                <c:pt idx="121">
                  <c:v>123.51590887119787</c:v>
                </c:pt>
                <c:pt idx="122">
                  <c:v>122.92199992870225</c:v>
                </c:pt>
                <c:pt idx="123">
                  <c:v>122.32646128504302</c:v>
                </c:pt>
                <c:pt idx="124">
                  <c:v>121.7293187965322</c:v>
                </c:pt>
                <c:pt idx="125">
                  <c:v>121.13059833032685</c:v>
                </c:pt>
                <c:pt idx="126">
                  <c:v>120.53032576108865</c:v>
                </c:pt>
                <c:pt idx="127">
                  <c:v>119.92852696766018</c:v>
                </c:pt>
                <c:pt idx="128">
                  <c:v>119.32522782975815</c:v>
                </c:pt>
                <c:pt idx="129">
                  <c:v>118.72045422468447</c:v>
                </c:pt>
                <c:pt idx="130">
                  <c:v>118.11423202405636</c:v>
                </c:pt>
                <c:pt idx="131">
                  <c:v>117.47161951865627</c:v>
                </c:pt>
                <c:pt idx="132">
                  <c:v>116.79260853417985</c:v>
                </c:pt>
                <c:pt idx="133">
                  <c:v>116.112209371891</c:v>
                </c:pt>
                <c:pt idx="134">
                  <c:v>115.43045138364036</c:v>
                </c:pt>
                <c:pt idx="135">
                  <c:v>114.7473638769349</c:v>
                </c:pt>
                <c:pt idx="136">
                  <c:v>114.06297611127779</c:v>
                </c:pt>
                <c:pt idx="137">
                  <c:v>113.37731729454151</c:v>
                </c:pt>
                <c:pt idx="138">
                  <c:v>112.69041657937359</c:v>
                </c:pt>
                <c:pt idx="139">
                  <c:v>112.00230305963584</c:v>
                </c:pt>
                <c:pt idx="140">
                  <c:v>111.31300576687849</c:v>
                </c:pt>
                <c:pt idx="141">
                  <c:v>110.20413652340005</c:v>
                </c:pt>
                <c:pt idx="142">
                  <c:v>108.67541964106235</c:v>
                </c:pt>
                <c:pt idx="143">
                  <c:v>107.14558899730028</c:v>
                </c:pt>
                <c:pt idx="144">
                  <c:v>105.61472507213217</c:v>
                </c:pt>
                <c:pt idx="145">
                  <c:v>104.08290773961188</c:v>
                </c:pt>
                <c:pt idx="146">
                  <c:v>102.55021625615274</c:v>
                </c:pt>
                <c:pt idx="147">
                  <c:v>101.01672924914429</c:v>
                </c:pt>
                <c:pt idx="148">
                  <c:v>99.48252470586327</c:v>
                </c:pt>
                <c:pt idx="149">
                  <c:v>97.947679962678379</c:v>
                </c:pt>
                <c:pt idx="150">
                  <c:v>96.412271694550839</c:v>
                </c:pt>
                <c:pt idx="151">
                  <c:v>94.87637590483024</c:v>
                </c:pt>
                <c:pt idx="152">
                  <c:v>93.340067915346225</c:v>
                </c:pt>
                <c:pt idx="153">
                  <c:v>91.803422356796133</c:v>
                </c:pt>
                <c:pt idx="154">
                  <c:v>90.266513159428925</c:v>
                </c:pt>
                <c:pt idx="155">
                  <c:v>88.729413544024453</c:v>
                </c:pt>
                <c:pt idx="156">
                  <c:v>85.208643762095107</c:v>
                </c:pt>
                <c:pt idx="157">
                  <c:v>79.704167053569961</c:v>
                </c:pt>
                <c:pt idx="158">
                  <c:v>74.201989461083244</c:v>
                </c:pt>
                <c:pt idx="159">
                  <c:v>68.702671613254708</c:v>
                </c:pt>
                <c:pt idx="160">
                  <c:v>63.206764374607239</c:v>
                </c:pt>
                <c:pt idx="161">
                  <c:v>55.192417910244458</c:v>
                </c:pt>
                <c:pt idx="162">
                  <c:v>44.661955041075821</c:v>
                </c:pt>
                <c:pt idx="163">
                  <c:v>34.383243295840472</c:v>
                </c:pt>
                <c:pt idx="164">
                  <c:v>24.357721314231025</c:v>
                </c:pt>
                <c:pt idx="165">
                  <c:v>16.755879690737089</c:v>
                </c:pt>
                <c:pt idx="166">
                  <c:v>11.575595075095981</c:v>
                </c:pt>
                <c:pt idx="167">
                  <c:v>4.5712247354642361</c:v>
                </c:pt>
                <c:pt idx="168">
                  <c:v>-2.9281634053607704</c:v>
                </c:pt>
                <c:pt idx="169">
                  <c:v>-14.19806945724573</c:v>
                </c:pt>
                <c:pt idx="170">
                  <c:v>-26.57833455728661</c:v>
                </c:pt>
                <c:pt idx="171">
                  <c:v>-30.737707250780339</c:v>
                </c:pt>
                <c:pt idx="172">
                  <c:v>-30.670284386801956</c:v>
                </c:pt>
                <c:pt idx="173">
                  <c:v>-30.603125560727861</c:v>
                </c:pt>
                <c:pt idx="174">
                  <c:v>-30.536229392431643</c:v>
                </c:pt>
                <c:pt idx="175">
                  <c:v>-30.469594510854044</c:v>
                </c:pt>
                <c:pt idx="176">
                  <c:v>-30.403219553931198</c:v>
                </c:pt>
                <c:pt idx="177">
                  <c:v>-30.33710316852342</c:v>
                </c:pt>
                <c:pt idx="178">
                  <c:v>-30.271244010344795</c:v>
                </c:pt>
                <c:pt idx="179">
                  <c:v>-30.205640743893326</c:v>
                </c:pt>
                <c:pt idx="180">
                  <c:v>-30.140292042381766</c:v>
                </c:pt>
                <c:pt idx="181">
                  <c:v>-30.075196587669062</c:v>
                </c:pt>
                <c:pt idx="182">
                  <c:v>-30.010353070192444</c:v>
                </c:pt>
                <c:pt idx="183">
                  <c:v>-29.945760188900124</c:v>
                </c:pt>
                <c:pt idx="184">
                  <c:v>-29.881416651184637</c:v>
                </c:pt>
                <c:pt idx="185">
                  <c:v>-29.817321172816758</c:v>
                </c:pt>
                <c:pt idx="186">
                  <c:v>-29.753472477880059</c:v>
                </c:pt>
                <c:pt idx="187">
                  <c:v>-29.689869298706007</c:v>
                </c:pt>
                <c:pt idx="188">
                  <c:v>-29.62651037580973</c:v>
                </c:pt>
                <c:pt idx="189">
                  <c:v>-29.563394457826288</c:v>
                </c:pt>
                <c:pt idx="190">
                  <c:v>-29.500520301447612</c:v>
                </c:pt>
                <c:pt idx="191">
                  <c:v>-29.437886671359905</c:v>
                </c:pt>
                <c:pt idx="192">
                  <c:v>-29.375492340181726</c:v>
                </c:pt>
                <c:pt idx="193">
                  <c:v>-29.313336088402529</c:v>
                </c:pt>
                <c:pt idx="194">
                  <c:v>-29.251416704321834</c:v>
                </c:pt>
                <c:pt idx="195">
                  <c:v>-29.18973298398895</c:v>
                </c:pt>
                <c:pt idx="196">
                  <c:v>-29.128283731143135</c:v>
                </c:pt>
                <c:pt idx="197">
                  <c:v>-29.06706775715444</c:v>
                </c:pt>
                <c:pt idx="198">
                  <c:v>-29.006083880964994</c:v>
                </c:pt>
                <c:pt idx="199">
                  <c:v>-28.945330929030831</c:v>
                </c:pt>
                <c:pt idx="200">
                  <c:v>-28.884807735264253</c:v>
                </c:pt>
                <c:pt idx="201">
                  <c:v>-28.824513140976673</c:v>
                </c:pt>
                <c:pt idx="202">
                  <c:v>-28.228767124226586</c:v>
                </c:pt>
                <c:pt idx="203">
                  <c:v>-27.65511301201272</c:v>
                </c:pt>
                <c:pt idx="204">
                  <c:v>-27.10246835321065</c:v>
                </c:pt>
                <c:pt idx="205">
                  <c:v>-26.569816697270795</c:v>
                </c:pt>
                <c:pt idx="206">
                  <c:v>-26.056202785436408</c:v>
                </c:pt>
                <c:pt idx="207">
                  <c:v>-25.560728146801392</c:v>
                </c:pt>
                <c:pt idx="208">
                  <c:v>-25.082547060552244</c:v>
                </c:pt>
                <c:pt idx="209">
                  <c:v>-24.620862849849487</c:v>
                </c:pt>
                <c:pt idx="210">
                  <c:v>-24.174924476433603</c:v>
                </c:pt>
                <c:pt idx="211">
                  <c:v>-23.744023408250278</c:v>
                </c:pt>
                <c:pt idx="212">
                  <c:v>-23.327490735232349</c:v>
                </c:pt>
                <c:pt idx="213">
                  <c:v>-22.924694510897098</c:v>
                </c:pt>
                <c:pt idx="214">
                  <c:v>-22.535037299657265</c:v>
                </c:pt>
                <c:pt idx="215">
                  <c:v>-22.157953911735937</c:v>
                </c:pt>
                <c:pt idx="216">
                  <c:v>-21.79290930934998</c:v>
                </c:pt>
                <c:pt idx="217">
                  <c:v>-21.439396669409394</c:v>
                </c:pt>
                <c:pt idx="218">
                  <c:v>-21.0969355893928</c:v>
                </c:pt>
                <c:pt idx="219">
                  <c:v>-20.765070424323753</c:v>
                </c:pt>
                <c:pt idx="220">
                  <c:v>-20.443368743903555</c:v>
                </c:pt>
                <c:pt idx="221">
                  <c:v>-20.131419899870867</c:v>
                </c:pt>
                <c:pt idx="222">
                  <c:v>-19.828833694568512</c:v>
                </c:pt>
                <c:pt idx="223">
                  <c:v>-19.535239142515788</c:v>
                </c:pt>
                <c:pt idx="224">
                  <c:v>-19.250283317520267</c:v>
                </c:pt>
                <c:pt idx="225">
                  <c:v>-18.973630278525405</c:v>
                </c:pt>
                <c:pt idx="226">
                  <c:v>-18.704960067987312</c:v>
                </c:pt>
                <c:pt idx="227">
                  <c:v>-18.443967777112803</c:v>
                </c:pt>
                <c:pt idx="228">
                  <c:v>-18.190362672777326</c:v>
                </c:pt>
                <c:pt idx="229">
                  <c:v>-17.943867381381164</c:v>
                </c:pt>
                <c:pt idx="230">
                  <c:v>-17.70421712530031</c:v>
                </c:pt>
                <c:pt idx="231">
                  <c:v>-17.47115900794855</c:v>
                </c:pt>
                <c:pt idx="232">
                  <c:v>-17.244451343794044</c:v>
                </c:pt>
                <c:pt idx="233">
                  <c:v>-17.023863029969764</c:v>
                </c:pt>
                <c:pt idx="234">
                  <c:v>-16.809172956385801</c:v>
                </c:pt>
                <c:pt idx="235">
                  <c:v>-16.600169451495631</c:v>
                </c:pt>
                <c:pt idx="236">
                  <c:v>-16.396649761090274</c:v>
                </c:pt>
                <c:pt idx="237">
                  <c:v>-16.198419557695601</c:v>
                </c:pt>
                <c:pt idx="238">
                  <c:v>-16.005292478331253</c:v>
                </c:pt>
                <c:pt idx="239">
                  <c:v>-15.817089688556404</c:v>
                </c:pt>
                <c:pt idx="240">
                  <c:v>-15.633639470878951</c:v>
                </c:pt>
                <c:pt idx="241">
                  <c:v>-15.454776835742489</c:v>
                </c:pt>
                <c:pt idx="242">
                  <c:v>-15.280343153430735</c:v>
                </c:pt>
                <c:pt idx="243">
                  <c:v>-15.110185805342809</c:v>
                </c:pt>
                <c:pt idx="244">
                  <c:v>-14.944157853195909</c:v>
                </c:pt>
                <c:pt idx="245">
                  <c:v>-14.782117724805783</c:v>
                </c:pt>
                <c:pt idx="246">
                  <c:v>-14.623928915179935</c:v>
                </c:pt>
                <c:pt idx="247">
                  <c:v>-14.469459701735097</c:v>
                </c:pt>
                <c:pt idx="248">
                  <c:v>-14.318582872519498</c:v>
                </c:pt>
                <c:pt idx="249">
                  <c:v>-14.171175466382131</c:v>
                </c:pt>
                <c:pt idx="250">
                  <c:v>-14.027118524086612</c:v>
                </c:pt>
                <c:pt idx="251">
                  <c:v>-13.886296849416091</c:v>
                </c:pt>
                <c:pt idx="252">
                  <c:v>-13.748598779358876</c:v>
                </c:pt>
                <c:pt idx="253">
                  <c:v>-13.613915962501936</c:v>
                </c:pt>
                <c:pt idx="254">
                  <c:v>-13.482143144791724</c:v>
                </c:pt>
                <c:pt idx="255">
                  <c:v>-13.353177961848733</c:v>
                </c:pt>
                <c:pt idx="256">
                  <c:v>-13.226920737044509</c:v>
                </c:pt>
                <c:pt idx="257">
                  <c:v>-13.103274284566901</c:v>
                </c:pt>
                <c:pt idx="258">
                  <c:v>-12.982143716712002</c:v>
                </c:pt>
                <c:pt idx="259">
                  <c:v>-12.863436254648832</c:v>
                </c:pt>
                <c:pt idx="260">
                  <c:v>-12.747061041905955</c:v>
                </c:pt>
                <c:pt idx="261">
                  <c:v>-12.632928959827348</c:v>
                </c:pt>
                <c:pt idx="262">
                  <c:v>-12.520952444238247</c:v>
                </c:pt>
                <c:pt idx="263">
                  <c:v>-12.411045302550134</c:v>
                </c:pt>
                <c:pt idx="264">
                  <c:v>-12.303122530517182</c:v>
                </c:pt>
                <c:pt idx="265">
                  <c:v>-12.197100127834673</c:v>
                </c:pt>
                <c:pt idx="266">
                  <c:v>-12.092894911742039</c:v>
                </c:pt>
                <c:pt idx="267">
                  <c:v>-11.990424327760101</c:v>
                </c:pt>
                <c:pt idx="268">
                  <c:v>-11.889606256652471</c:v>
                </c:pt>
                <c:pt idx="269">
                  <c:v>-11.790358816655353</c:v>
                </c:pt>
                <c:pt idx="270">
                  <c:v>-11.69260015996724</c:v>
                </c:pt>
                <c:pt idx="271">
                  <c:v>-11.596248262430398</c:v>
                </c:pt>
                <c:pt idx="272">
                  <c:v>-11.501220705268604</c:v>
                </c:pt>
                <c:pt idx="273">
                  <c:v>-11.407434447670514</c:v>
                </c:pt>
                <c:pt idx="274">
                  <c:v>-11.3148055889242</c:v>
                </c:pt>
                <c:pt idx="275">
                  <c:v>-11.22324911871635</c:v>
                </c:pt>
                <c:pt idx="276">
                  <c:v>-11.132678654107895</c:v>
                </c:pt>
                <c:pt idx="277">
                  <c:v>-11.043006161587227</c:v>
                </c:pt>
                <c:pt idx="278">
                  <c:v>-10.954141662481677</c:v>
                </c:pt>
                <c:pt idx="279">
                  <c:v>-10.865992919878105</c:v>
                </c:pt>
                <c:pt idx="280">
                  <c:v>-10.778465105064067</c:v>
                </c:pt>
                <c:pt idx="281">
                  <c:v>-10.69146044135303</c:v>
                </c:pt>
                <c:pt idx="282">
                  <c:v>-10.604877823000862</c:v>
                </c:pt>
                <c:pt idx="283">
                  <c:v>-10.518612406758404</c:v>
                </c:pt>
                <c:pt idx="284">
                  <c:v>-10.432555173437928</c:v>
                </c:pt>
                <c:pt idx="285">
                  <c:v>-10.346592456703135</c:v>
                </c:pt>
                <c:pt idx="286">
                  <c:v>-10.260605436127189</c:v>
                </c:pt>
                <c:pt idx="287">
                  <c:v>-10.174469591406945</c:v>
                </c:pt>
                <c:pt idx="288">
                  <c:v>-10.088054114481647</c:v>
                </c:pt>
                <c:pt idx="289">
                  <c:v>-10.001221276191439</c:v>
                </c:pt>
                <c:pt idx="290">
                  <c:v>-9.9138257440379558</c:v>
                </c:pt>
                <c:pt idx="291">
                  <c:v>-9.8257138475936436</c:v>
                </c:pt>
                <c:pt idx="292">
                  <c:v>-9.7367227881702796</c:v>
                </c:pt>
                <c:pt idx="293">
                  <c:v>-9.6466797895283261</c:v>
                </c:pt>
                <c:pt idx="294">
                  <c:v>-9.5554011867234898</c:v>
                </c:pt>
                <c:pt idx="295">
                  <c:v>-9.4626914506890216</c:v>
                </c:pt>
                <c:pt idx="296">
                  <c:v>-9.3683421468986943</c:v>
                </c:pt>
                <c:pt idx="297">
                  <c:v>-9.2721308275147081</c:v>
                </c:pt>
                <c:pt idx="298">
                  <c:v>-9.173819857882453</c:v>
                </c:pt>
                <c:pt idx="299">
                  <c:v>-9.0731551801944494</c:v>
                </c:pt>
                <c:pt idx="300">
                  <c:v>-8.9698650197350123</c:v>
                </c:pt>
                <c:pt idx="301">
                  <c:v>-8.8636585424862044</c:v>
                </c:pt>
                <c:pt idx="302">
                  <c:v>-8.7542244772037954</c:v>
                </c:pt>
                <c:pt idx="303">
                  <c:v>-8.641229720567587</c:v>
                </c:pt>
                <c:pt idx="304">
                  <c:v>-8.5243179509130549</c:v>
                </c:pt>
                <c:pt idx="305">
                  <c:v>-8.4031082846277183</c:v>
                </c:pt>
                <c:pt idx="306">
                  <c:v>-8.277194019835628</c:v>
                </c:pt>
                <c:pt idx="307">
                  <c:v>-8.146141524796068</c:v>
                </c:pt>
                <c:pt idx="308">
                  <c:v>-8.0094893437956394</c:v>
                </c:pt>
                <c:pt idx="309">
                  <c:v>-7.8667476114589192</c:v>
                </c:pt>
                <c:pt idx="310">
                  <c:v>-7.7173978874880769</c:v>
                </c:pt>
                <c:pt idx="311">
                  <c:v>-7.5608935478435244</c:v>
                </c:pt>
                <c:pt idx="312">
                  <c:v>-7.396660895003067</c:v>
                </c:pt>
                <c:pt idx="313">
                  <c:v>-7.2241011784912121</c:v>
                </c:pt>
                <c:pt idx="314">
                  <c:v>-7.0425937460866876</c:v>
                </c:pt>
                <c:pt idx="315">
                  <c:v>-6.8515005739565114</c:v>
                </c:pt>
                <c:pt idx="316">
                  <c:v>-6.650172447393528</c:v>
                </c:pt>
                <c:pt idx="317">
                  <c:v>-6.4379570785962112</c:v>
                </c:pt>
                <c:pt idx="318">
                  <c:v>-6.214209448371693</c:v>
                </c:pt>
                <c:pt idx="319">
                  <c:v>-5.9783046376526361</c:v>
                </c:pt>
                <c:pt idx="320">
                  <c:v>-5.7296533638771612</c:v>
                </c:pt>
                <c:pt idx="321">
                  <c:v>-5.4677203473671332</c:v>
                </c:pt>
                <c:pt idx="322">
                  <c:v>-5.192045494828271</c:v>
                </c:pt>
                <c:pt idx="323">
                  <c:v>-4.9022676937861114</c:v>
                </c:pt>
                <c:pt idx="324">
                  <c:v>-4.5981507601177967</c:v>
                </c:pt>
                <c:pt idx="325">
                  <c:v>-4.279610774882884</c:v>
                </c:pt>
                <c:pt idx="326">
                  <c:v>-3.9467437007384434</c:v>
                </c:pt>
                <c:pt idx="327">
                  <c:v>-3.5998518097964882</c:v>
                </c:pt>
                <c:pt idx="328">
                  <c:v>-3.2394671257877721</c:v>
                </c:pt>
                <c:pt idx="329">
                  <c:v>-2.8663698389395007</c:v>
                </c:pt>
                <c:pt idx="330">
                  <c:v>-2.4815995550749892</c:v>
                </c:pt>
                <c:pt idx="331">
                  <c:v>-2.0864573522415415</c:v>
                </c:pt>
                <c:pt idx="332">
                  <c:v>-1.6824969841759378</c:v>
                </c:pt>
                <c:pt idx="333">
                  <c:v>-1.2715042045613312</c:v>
                </c:pt>
                <c:pt idx="334">
                  <c:v>-0.8554640595412516</c:v>
                </c:pt>
                <c:pt idx="335">
                  <c:v>-0.43651702840244855</c:v>
                </c:pt>
                <c:pt idx="336">
                  <c:v>-1.6905959068546306E-2</c:v>
                </c:pt>
                <c:pt idx="337">
                  <c:v>0.40108330492561001</c:v>
                </c:pt>
                <c:pt idx="338">
                  <c:v>0.81518402459175143</c:v>
                </c:pt>
                <c:pt idx="339">
                  <c:v>1.2232095059497992</c:v>
                </c:pt>
                <c:pt idx="340">
                  <c:v>1.623109120447523</c:v>
                </c:pt>
                <c:pt idx="341">
                  <c:v>2.0130161819107593</c:v>
                </c:pt>
                <c:pt idx="342">
                  <c:v>2.3912853135194392</c:v>
                </c:pt>
                <c:pt idx="343">
                  <c:v>2.7565179773821558</c:v>
                </c:pt>
                <c:pt idx="344">
                  <c:v>3.1075759062900885</c:v>
                </c:pt>
                <c:pt idx="345">
                  <c:v>3.4435831329257374</c:v>
                </c:pt>
                <c:pt idx="346">
                  <c:v>3.7639180554218452</c:v>
                </c:pt>
                <c:pt idx="347">
                  <c:v>4.0681974585357281</c:v>
                </c:pt>
                <c:pt idx="348">
                  <c:v>4.3562546237889395</c:v>
                </c:pt>
                <c:pt idx="349">
                  <c:v>4.6281136441271666</c:v>
                </c:pt>
                <c:pt idx="350">
                  <c:v>4.8839618657238013</c:v>
                </c:pt>
                <c:pt idx="351">
                  <c:v>5.1241220756065884</c:v>
                </c:pt>
                <c:pt idx="352">
                  <c:v>5.3490256986030351</c:v>
                </c:pt>
                <c:pt idx="353">
                  <c:v>5.5591879088773792</c:v>
                </c:pt>
                <c:pt idx="354">
                  <c:v>5.7551852338077909</c:v>
                </c:pt>
                <c:pt idx="355">
                  <c:v>5.9376359508001721</c:v>
                </c:pt>
                <c:pt idx="356">
                  <c:v>6.1071833588368793</c:v>
                </c:pt>
                <c:pt idx="357">
                  <c:v>6.2644818455861904</c:v>
                </c:pt>
                <c:pt idx="358">
                  <c:v>6.4101855618558972</c:v>
                </c:pt>
                <c:pt idx="359">
                  <c:v>6.5449394494345974</c:v>
                </c:pt>
                <c:pt idx="360">
                  <c:v>6.6693723365088795</c:v>
                </c:pt>
                <c:pt idx="361">
                  <c:v>6.7840918079272221</c:v>
                </c:pt>
                <c:pt idx="362">
                  <c:v>6.8896805678243283</c:v>
                </c:pt>
                <c:pt idx="363">
                  <c:v>6.9866940331978462</c:v>
                </c:pt>
                <c:pt idx="364">
                  <c:v>7.0756589240816874</c:v>
                </c:pt>
                <c:pt idx="365">
                  <c:v>7.1570726454458438</c:v>
                </c:pt>
                <c:pt idx="366">
                  <c:v>7.2314032854357988</c:v>
                </c:pt>
                <c:pt idx="367">
                  <c:v>7.2990900824828095</c:v>
                </c:pt>
                <c:pt idx="368">
                  <c:v>7.3605442392642093</c:v>
                </c:pt>
                <c:pt idx="369">
                  <c:v>7.4161499840369345</c:v>
                </c:pt>
                <c:pt idx="370">
                  <c:v>7.466265799396349</c:v>
                </c:pt>
                <c:pt idx="371">
                  <c:v>7.5112257551228616</c:v>
                </c:pt>
                <c:pt idx="372">
                  <c:v>7.5513408956898038</c:v>
                </c:pt>
                <c:pt idx="373">
                  <c:v>7.5869006445002647</c:v>
                </c:pt>
                <c:pt idx="374">
                  <c:v>7.6181741963030447</c:v>
                </c:pt>
                <c:pt idx="375">
                  <c:v>7.6454118768100381</c:v>
                </c:pt>
                <c:pt idx="376">
                  <c:v>7.6688464545819315</c:v>
                </c:pt>
                <c:pt idx="377">
                  <c:v>7.688694395021141</c:v>
                </c:pt>
                <c:pt idx="378">
                  <c:v>7.7051570500350204</c:v>
                </c:pt>
                <c:pt idx="379">
                  <c:v>7.7184217798019539</c:v>
                </c:pt>
                <c:pt idx="380">
                  <c:v>7.7286630052523098</c:v>
                </c:pt>
                <c:pt idx="381">
                  <c:v>7.7360431915027279</c:v>
                </c:pt>
                <c:pt idx="382">
                  <c:v>7.7407137636695973</c:v>
                </c:pt>
                <c:pt idx="383">
                  <c:v>7.7428159573295696</c:v>
                </c:pt>
                <c:pt idx="384">
                  <c:v>7.742481606467102</c:v>
                </c:pt>
                <c:pt idx="385">
                  <c:v>7.7398338721130511</c:v>
                </c:pt>
                <c:pt idx="386">
                  <c:v>7.7349879150832139</c:v>
                </c:pt>
                <c:pt idx="387">
                  <c:v>7.7280515163107752</c:v>
                </c:pt>
                <c:pt idx="388">
                  <c:v>7.7191256482628336</c:v>
                </c:pt>
                <c:pt idx="389">
                  <c:v>7.7083050008627527</c:v>
                </c:pt>
                <c:pt idx="390">
                  <c:v>7.6956784652263845</c:v>
                </c:pt>
                <c:pt idx="391">
                  <c:v>7.6813295783754896</c:v>
                </c:pt>
                <c:pt idx="392">
                  <c:v>7.6653369319276372</c:v>
                </c:pt>
                <c:pt idx="393">
                  <c:v>7.6477745475866907</c:v>
                </c:pt>
                <c:pt idx="394">
                  <c:v>7.6287122220785317</c:v>
                </c:pt>
                <c:pt idx="395">
                  <c:v>7.6082158439970158</c:v>
                </c:pt>
                <c:pt idx="396">
                  <c:v>7.5863476848495441</c:v>
                </c:pt>
                <c:pt idx="397">
                  <c:v>7.563166666421675</c:v>
                </c:pt>
                <c:pt idx="398">
                  <c:v>7.5387286064179442</c:v>
                </c:pt>
                <c:pt idx="399">
                  <c:v>7.5130864441825747</c:v>
                </c:pt>
                <c:pt idx="400">
                  <c:v>7.486290448159072</c:v>
                </c:pt>
                <c:pt idx="401">
                  <c:v>7.4583884066128716</c:v>
                </c:pt>
                <c:pt idx="402">
                  <c:v>7.4294258030153184</c:v>
                </c:pt>
                <c:pt idx="403">
                  <c:v>7.3994459773707533</c:v>
                </c:pt>
                <c:pt idx="404">
                  <c:v>7.3684902746608465</c:v>
                </c:pt>
                <c:pt idx="405">
                  <c:v>7.3365981814808965</c:v>
                </c:pt>
                <c:pt idx="406">
                  <c:v>7.3038074518515534</c:v>
                </c:pt>
                <c:pt idx="407">
                  <c:v>7.2701542231055596</c:v>
                </c:pt>
                <c:pt idx="408">
                  <c:v>7.2356731226722317</c:v>
                </c:pt>
                <c:pt idx="409">
                  <c:v>7.2003973665119556</c:v>
                </c:pt>
                <c:pt idx="410">
                  <c:v>7.1643588498886626</c:v>
                </c:pt>
                <c:pt idx="411">
                  <c:v>7.1275882311092893</c:v>
                </c:pt>
                <c:pt idx="412">
                  <c:v>7.0901150088055802</c:v>
                </c:pt>
                <c:pt idx="413">
                  <c:v>7.051967593284397</c:v>
                </c:pt>
                <c:pt idx="414">
                  <c:v>7.0131733724279517</c:v>
                </c:pt>
                <c:pt idx="415">
                  <c:v>6.973758772584528</c:v>
                </c:pt>
                <c:pt idx="416">
                  <c:v>6.9337493148528937</c:v>
                </c:pt>
                <c:pt idx="417">
                  <c:v>6.8931696671296789</c:v>
                </c:pt>
                <c:pt idx="418">
                  <c:v>6.8520436922578742</c:v>
                </c:pt>
                <c:pt idx="419">
                  <c:v>6.810394492586374</c:v>
                </c:pt>
                <c:pt idx="420">
                  <c:v>6.7682444512245805</c:v>
                </c:pt>
                <c:pt idx="421">
                  <c:v>6.7256152702526162</c:v>
                </c:pt>
                <c:pt idx="422">
                  <c:v>6.6825280061260521</c:v>
                </c:pt>
                <c:pt idx="423">
                  <c:v>6.6390031024945309</c:v>
                </c:pt>
                <c:pt idx="424">
                  <c:v>6.5950604206356385</c:v>
                </c:pt>
                <c:pt idx="425">
                  <c:v>6.5507192676890469</c:v>
                </c:pt>
                <c:pt idx="426">
                  <c:v>6.5059984228609409</c:v>
                </c:pt>
                <c:pt idx="427">
                  <c:v>6.4609161617550255</c:v>
                </c:pt>
                <c:pt idx="428">
                  <c:v>6.4154902789739552</c:v>
                </c:pt>
                <c:pt idx="429">
                  <c:v>6.3697381091234879</c:v>
                </c:pt>
                <c:pt idx="430">
                  <c:v>6.3236765463412103</c:v>
                </c:pt>
                <c:pt idx="431">
                  <c:v>6.2773220624620549</c:v>
                </c:pt>
                <c:pt idx="432">
                  <c:v>6.2306907239240665</c:v>
                </c:pt>
                <c:pt idx="433">
                  <c:v>6.1837982075097013</c:v>
                </c:pt>
                <c:pt idx="434">
                  <c:v>6.1366598150106775</c:v>
                </c:pt>
                <c:pt idx="435">
                  <c:v>6.0892904868974576</c:v>
                </c:pt>
                <c:pt idx="436">
                  <c:v>6.0417048150683197</c:v>
                </c:pt>
                <c:pt idx="437">
                  <c:v>5.9939170547471514</c:v>
                </c:pt>
                <c:pt idx="438">
                  <c:v>5.9459411355939071</c:v>
                </c:pt>
                <c:pt idx="439">
                  <c:v>5.8977906720867743</c:v>
                </c:pt>
                <c:pt idx="440">
                  <c:v>5.8494789732306316</c:v>
                </c:pt>
                <c:pt idx="441">
                  <c:v>5.8010190516423492</c:v>
                </c:pt>
                <c:pt idx="442">
                  <c:v>5.7524236320595943</c:v>
                </c:pt>
                <c:pt idx="443">
                  <c:v>5.7037051593164261</c:v>
                </c:pt>
                <c:pt idx="444">
                  <c:v>5.6548758058256654</c:v>
                </c:pt>
                <c:pt idx="445">
                  <c:v>5.605947478605124</c:v>
                </c:pt>
                <c:pt idx="446">
                  <c:v>5.5569318258820148</c:v>
                </c:pt>
                <c:pt idx="447">
                  <c:v>5.5078402433073457</c:v>
                </c:pt>
                <c:pt idx="448">
                  <c:v>5.4586838798097368</c:v>
                </c:pt>
                <c:pt idx="449">
                  <c:v>5.4094736431160317</c:v>
                </c:pt>
                <c:pt idx="450">
                  <c:v>5.3602202049639471</c:v>
                </c:pt>
                <c:pt idx="451">
                  <c:v>5.3109340060302745</c:v>
                </c:pt>
                <c:pt idx="452">
                  <c:v>5.2616252605963565</c:v>
                </c:pt>
                <c:pt idx="453">
                  <c:v>5.2123039609710879</c:v>
                </c:pt>
                <c:pt idx="454">
                  <c:v>5.1629798816900241</c:v>
                </c:pt>
                <c:pt idx="455">
                  <c:v>5.1136625835080736</c:v>
                </c:pt>
                <c:pt idx="456">
                  <c:v>5.0643614172017655</c:v>
                </c:pt>
                <c:pt idx="457">
                  <c:v>5.0150855271960779</c:v>
                </c:pt>
                <c:pt idx="458">
                  <c:v>4.9658438550295871</c:v>
                </c:pt>
                <c:pt idx="459">
                  <c:v>4.9166451426708138</c:v>
                </c:pt>
                <c:pt idx="460">
                  <c:v>4.867497935697628</c:v>
                </c:pt>
                <c:pt idx="461">
                  <c:v>4.8184105863507121</c:v>
                </c:pt>
                <c:pt idx="462">
                  <c:v>4.769391256471299</c:v>
                </c:pt>
                <c:pt idx="463">
                  <c:v>4.7204479203326093</c:v>
                </c:pt>
                <c:pt idx="464">
                  <c:v>4.6715883673737961</c:v>
                </c:pt>
                <c:pt idx="465">
                  <c:v>4.6228202048443832</c:v>
                </c:pt>
                <c:pt idx="466">
                  <c:v>4.5741508603667995</c:v>
                </c:pt>
                <c:pt idx="467">
                  <c:v>4.525587584423846</c:v>
                </c:pt>
                <c:pt idx="468">
                  <c:v>4.477137452777554</c:v>
                </c:pt>
                <c:pt idx="469">
                  <c:v>4.4288073688252876</c:v>
                </c:pt>
                <c:pt idx="470">
                  <c:v>4.3806040658985701</c:v>
                </c:pt>
                <c:pt idx="471">
                  <c:v>4.3325341095096723</c:v>
                </c:pt>
                <c:pt idx="472">
                  <c:v>4.284603899550536</c:v>
                </c:pt>
                <c:pt idx="473">
                  <c:v>4.2368196724483544</c:v>
                </c:pt>
                <c:pt idx="474">
                  <c:v>4.1891875032816914</c:v>
                </c:pt>
                <c:pt idx="475">
                  <c:v>4.1417133078607087</c:v>
                </c:pt>
                <c:pt idx="476">
                  <c:v>4.0944028447748648</c:v>
                </c:pt>
                <c:pt idx="477">
                  <c:v>4.0472617174110272</c:v>
                </c:pt>
                <c:pt idx="478">
                  <c:v>4.0002953759448019</c:v>
                </c:pt>
                <c:pt idx="479">
                  <c:v>3.9535091193075838</c:v>
                </c:pt>
                <c:pt idx="480">
                  <c:v>3.9069080971315797</c:v>
                </c:pt>
                <c:pt idx="481">
                  <c:v>3.8604973116749699</c:v>
                </c:pt>
                <c:pt idx="482">
                  <c:v>3.8142816197289848</c:v>
                </c:pt>
                <c:pt idx="483">
                  <c:v>3.7682657345087076</c:v>
                </c:pt>
                <c:pt idx="484">
                  <c:v>3.722454227529016</c:v>
                </c:pt>
                <c:pt idx="485">
                  <c:v>3.6768515304671565</c:v>
                </c:pt>
                <c:pt idx="486">
                  <c:v>3.6314619370131256</c:v>
                </c:pt>
                <c:pt idx="487">
                  <c:v>3.5862896047088952</c:v>
                </c:pt>
                <c:pt idx="488">
                  <c:v>3.5413385567776068</c:v>
                </c:pt>
                <c:pt idx="489">
                  <c:v>3.4966126839434022</c:v>
                </c:pt>
                <c:pt idx="490">
                  <c:v>3.4521157462427388</c:v>
                </c:pt>
                <c:pt idx="491">
                  <c:v>3.4078513748278745</c:v>
                </c:pt>
                <c:pt idx="492">
                  <c:v>3.3638230737628732</c:v>
                </c:pt>
                <c:pt idx="493">
                  <c:v>3.3200342218128913</c:v>
                </c:pt>
                <c:pt idx="494">
                  <c:v>3.2764880742268119</c:v>
                </c:pt>
                <c:pt idx="495">
                  <c:v>3.2331877645138132</c:v>
                </c:pt>
                <c:pt idx="496">
                  <c:v>3.1901363062138994</c:v>
                </c:pt>
                <c:pt idx="497">
                  <c:v>3.1473365946627165</c:v>
                </c:pt>
                <c:pt idx="498">
                  <c:v>3.1047914087507271</c:v>
                </c:pt>
                <c:pt idx="499">
                  <c:v>3.0625034126767696</c:v>
                </c:pt>
                <c:pt idx="500">
                  <c:v>3.020475157696132</c:v>
                </c:pt>
                <c:pt idx="501">
                  <c:v>2.9787090838630235</c:v>
                </c:pt>
                <c:pt idx="502">
                  <c:v>2.9372075217674487</c:v>
                </c:pt>
                <c:pt idx="503">
                  <c:v>2.8959726942663293</c:v>
                </c:pt>
                <c:pt idx="504">
                  <c:v>2.8550067182088199</c:v>
                </c:pt>
                <c:pt idx="505">
                  <c:v>2.8143116061556137</c:v>
                </c:pt>
                <c:pt idx="506">
                  <c:v>2.7738892680920637</c:v>
                </c:pt>
                <c:pt idx="507">
                  <c:v>2.7337415131349267</c:v>
                </c:pt>
                <c:pt idx="508">
                  <c:v>2.6938700512325005</c:v>
                </c:pt>
                <c:pt idx="509">
                  <c:v>2.6542764948578883</c:v>
                </c:pt>
                <c:pt idx="510">
                  <c:v>2.6149623606951957</c:v>
                </c:pt>
                <c:pt idx="511">
                  <c:v>2.5759290713183134</c:v>
                </c:pt>
                <c:pt idx="512">
                  <c:v>2.5371779568620392</c:v>
                </c:pt>
                <c:pt idx="513">
                  <c:v>2.4987102566852473</c:v>
                </c:pt>
                <c:pt idx="514">
                  <c:v>2.4605271210258035</c:v>
                </c:pt>
                <c:pt idx="515">
                  <c:v>2.422629612646908</c:v>
                </c:pt>
                <c:pt idx="516">
                  <c:v>2.3850187084745649</c:v>
                </c:pt>
                <c:pt idx="517">
                  <c:v>2.3476953012258672</c:v>
                </c:pt>
                <c:pt idx="518">
                  <c:v>2.3476583524612948</c:v>
                </c:pt>
                <c:pt idx="519">
                  <c:v>2.347621403982056</c:v>
                </c:pt>
                <c:pt idx="520">
                  <c:v>2.3475844557881489</c:v>
                </c:pt>
                <c:pt idx="521">
                  <c:v>2.3475475078795789</c:v>
                </c:pt>
                <c:pt idx="522">
                  <c:v>2.3475105602563389</c:v>
                </c:pt>
                <c:pt idx="523">
                  <c:v>2.3474736129184306</c:v>
                </c:pt>
                <c:pt idx="524">
                  <c:v>2.3474366658658639</c:v>
                </c:pt>
                <c:pt idx="525">
                  <c:v>2.3473997190986315</c:v>
                </c:pt>
                <c:pt idx="526">
                  <c:v>2.347362772616731</c:v>
                </c:pt>
                <c:pt idx="527">
                  <c:v>2.347325826420172</c:v>
                </c:pt>
                <c:pt idx="528">
                  <c:v>2.3472888805089518</c:v>
                </c:pt>
                <c:pt idx="529">
                  <c:v>2.3472519348830669</c:v>
                </c:pt>
                <c:pt idx="530">
                  <c:v>2.3472149895425263</c:v>
                </c:pt>
                <c:pt idx="531">
                  <c:v>2.3471780444873236</c:v>
                </c:pt>
                <c:pt idx="532">
                  <c:v>2.3471410997174607</c:v>
                </c:pt>
                <c:pt idx="533">
                  <c:v>2.3471041552329384</c:v>
                </c:pt>
                <c:pt idx="534">
                  <c:v>2.3470672110337603</c:v>
                </c:pt>
                <c:pt idx="535">
                  <c:v>2.3470302671199281</c:v>
                </c:pt>
                <c:pt idx="536">
                  <c:v>2.346993323491434</c:v>
                </c:pt>
                <c:pt idx="537">
                  <c:v>2.3469563801482929</c:v>
                </c:pt>
                <c:pt idx="538">
                  <c:v>2.3469194370904916</c:v>
                </c:pt>
                <c:pt idx="539">
                  <c:v>2.3468824943180362</c:v>
                </c:pt>
                <c:pt idx="540">
                  <c:v>2.3468455518309321</c:v>
                </c:pt>
                <c:pt idx="541">
                  <c:v>2.3468086096291758</c:v>
                </c:pt>
                <c:pt idx="542">
                  <c:v>2.3467716677127628</c:v>
                </c:pt>
                <c:pt idx="543">
                  <c:v>2.3467347260817037</c:v>
                </c:pt>
                <c:pt idx="544">
                  <c:v>2.3466977847359924</c:v>
                </c:pt>
                <c:pt idx="545">
                  <c:v>2.3466608436756333</c:v>
                </c:pt>
                <c:pt idx="546">
                  <c:v>2.3466239029006219</c:v>
                </c:pt>
                <c:pt idx="547">
                  <c:v>2.3465869624109654</c:v>
                </c:pt>
                <c:pt idx="548">
                  <c:v>2.3465500222066638</c:v>
                </c:pt>
                <c:pt idx="549">
                  <c:v>2.3465130822877125</c:v>
                </c:pt>
                <c:pt idx="550">
                  <c:v>2.3464761426541187</c:v>
                </c:pt>
                <c:pt idx="551">
                  <c:v>2.3464392033058763</c:v>
                </c:pt>
                <c:pt idx="552">
                  <c:v>2.3464022642429896</c:v>
                </c:pt>
                <c:pt idx="553">
                  <c:v>2.3463653254654622</c:v>
                </c:pt>
                <c:pt idx="554">
                  <c:v>2.3463283869732914</c:v>
                </c:pt>
                <c:pt idx="555">
                  <c:v>2.3462914487664737</c:v>
                </c:pt>
                <c:pt idx="556">
                  <c:v>2.3462545108450259</c:v>
                </c:pt>
                <c:pt idx="557">
                  <c:v>2.3462175732089268</c:v>
                </c:pt>
                <c:pt idx="558">
                  <c:v>2.3461806358581949</c:v>
                </c:pt>
                <c:pt idx="559">
                  <c:v>2.3461436987928241</c:v>
                </c:pt>
                <c:pt idx="560">
                  <c:v>2.3461067620128135</c:v>
                </c:pt>
                <c:pt idx="561">
                  <c:v>2.3460698255181658</c:v>
                </c:pt>
                <c:pt idx="562">
                  <c:v>2.3460328893088755</c:v>
                </c:pt>
                <c:pt idx="563">
                  <c:v>2.3459959533849544</c:v>
                </c:pt>
                <c:pt idx="564">
                  <c:v>2.345959017746396</c:v>
                </c:pt>
                <c:pt idx="565">
                  <c:v>2.3459220823932041</c:v>
                </c:pt>
                <c:pt idx="566">
                  <c:v>2.3458851473253803</c:v>
                </c:pt>
                <c:pt idx="567">
                  <c:v>2.3458482125429221</c:v>
                </c:pt>
                <c:pt idx="568">
                  <c:v>2.3458112780458329</c:v>
                </c:pt>
                <c:pt idx="569">
                  <c:v>2.3457743438341083</c:v>
                </c:pt>
                <c:pt idx="570">
                  <c:v>2.3457374099077519</c:v>
                </c:pt>
                <c:pt idx="571">
                  <c:v>2.345700476266769</c:v>
                </c:pt>
                <c:pt idx="572">
                  <c:v>2.3456635429111579</c:v>
                </c:pt>
                <c:pt idx="573">
                  <c:v>2.3456266098409113</c:v>
                </c:pt>
                <c:pt idx="574">
                  <c:v>2.3455896770560445</c:v>
                </c:pt>
                <c:pt idx="575">
                  <c:v>2.3455527445565503</c:v>
                </c:pt>
                <c:pt idx="576">
                  <c:v>2.3455158123424242</c:v>
                </c:pt>
                <c:pt idx="577">
                  <c:v>2.3454788804136708</c:v>
                </c:pt>
                <c:pt idx="578">
                  <c:v>2.345441948770298</c:v>
                </c:pt>
                <c:pt idx="579">
                  <c:v>2.3454050174123022</c:v>
                </c:pt>
                <c:pt idx="580">
                  <c:v>2.34536808633968</c:v>
                </c:pt>
                <c:pt idx="581">
                  <c:v>2.3453311555524312</c:v>
                </c:pt>
                <c:pt idx="582">
                  <c:v>2.345294225050564</c:v>
                </c:pt>
                <c:pt idx="583">
                  <c:v>2.3452572948340782</c:v>
                </c:pt>
                <c:pt idx="584">
                  <c:v>2.3452203649029668</c:v>
                </c:pt>
                <c:pt idx="585">
                  <c:v>2.3451834352572369</c:v>
                </c:pt>
                <c:pt idx="586">
                  <c:v>2.3451465058968877</c:v>
                </c:pt>
                <c:pt idx="587">
                  <c:v>2.3451095768219208</c:v>
                </c:pt>
                <c:pt idx="588">
                  <c:v>2.3450726480323372</c:v>
                </c:pt>
                <c:pt idx="589">
                  <c:v>2.3450357195281342</c:v>
                </c:pt>
                <c:pt idx="590">
                  <c:v>2.3449987913093162</c:v>
                </c:pt>
                <c:pt idx="591">
                  <c:v>2.3449618633758815</c:v>
                </c:pt>
                <c:pt idx="592">
                  <c:v>2.3449249357278354</c:v>
                </c:pt>
                <c:pt idx="593">
                  <c:v>2.3448880083651735</c:v>
                </c:pt>
                <c:pt idx="594">
                  <c:v>2.3448510812878993</c:v>
                </c:pt>
                <c:pt idx="595">
                  <c:v>2.3448141544960119</c:v>
                </c:pt>
                <c:pt idx="596">
                  <c:v>2.3447772279895114</c:v>
                </c:pt>
                <c:pt idx="597">
                  <c:v>2.3447403017684021</c:v>
                </c:pt>
                <c:pt idx="598">
                  <c:v>2.344703375832677</c:v>
                </c:pt>
                <c:pt idx="599">
                  <c:v>2.3446664501823502</c:v>
                </c:pt>
                <c:pt idx="600">
                  <c:v>2.3446295248174112</c:v>
                </c:pt>
                <c:pt idx="601">
                  <c:v>2.3445925997378607</c:v>
                </c:pt>
                <c:pt idx="602">
                  <c:v>2.3445556749437086</c:v>
                </c:pt>
                <c:pt idx="603">
                  <c:v>2.3445187504349461</c:v>
                </c:pt>
                <c:pt idx="604">
                  <c:v>2.3444818262115827</c:v>
                </c:pt>
                <c:pt idx="605">
                  <c:v>2.3444449022736089</c:v>
                </c:pt>
                <c:pt idx="606">
                  <c:v>2.344407978621029</c:v>
                </c:pt>
                <c:pt idx="607">
                  <c:v>2.3443710552538519</c:v>
                </c:pt>
                <c:pt idx="608">
                  <c:v>2.3443341321720679</c:v>
                </c:pt>
                <c:pt idx="609">
                  <c:v>2.3442972093756795</c:v>
                </c:pt>
                <c:pt idx="610">
                  <c:v>2.3442602868646922</c:v>
                </c:pt>
                <c:pt idx="611">
                  <c:v>2.344223364639106</c:v>
                </c:pt>
                <c:pt idx="612">
                  <c:v>2.3441864426989154</c:v>
                </c:pt>
                <c:pt idx="613">
                  <c:v>2.3441495210441268</c:v>
                </c:pt>
                <c:pt idx="614">
                  <c:v>2.3441125996747392</c:v>
                </c:pt>
                <c:pt idx="615">
                  <c:v>2.3440756785907571</c:v>
                </c:pt>
                <c:pt idx="616">
                  <c:v>2.3440387577921777</c:v>
                </c:pt>
                <c:pt idx="617">
                  <c:v>2.3440018372789959</c:v>
                </c:pt>
                <c:pt idx="618">
                  <c:v>2.3439649170512213</c:v>
                </c:pt>
                <c:pt idx="619">
                  <c:v>2.3439279971088558</c:v>
                </c:pt>
                <c:pt idx="620">
                  <c:v>2.3438910774518957</c:v>
                </c:pt>
                <c:pt idx="621">
                  <c:v>2.3438541580803394</c:v>
                </c:pt>
                <c:pt idx="622">
                  <c:v>2.3438172389941876</c:v>
                </c:pt>
                <c:pt idx="623">
                  <c:v>2.3437803201934448</c:v>
                </c:pt>
                <c:pt idx="624">
                  <c:v>2.3437434016781173</c:v>
                </c:pt>
                <c:pt idx="625">
                  <c:v>2.34370648344819</c:v>
                </c:pt>
                <c:pt idx="626">
                  <c:v>2.3436695655036832</c:v>
                </c:pt>
                <c:pt idx="627">
                  <c:v>2.3436326478445784</c:v>
                </c:pt>
                <c:pt idx="628">
                  <c:v>2.3435957304708896</c:v>
                </c:pt>
                <c:pt idx="629">
                  <c:v>2.34355881338261</c:v>
                </c:pt>
                <c:pt idx="630">
                  <c:v>2.3435218965797437</c:v>
                </c:pt>
                <c:pt idx="631">
                  <c:v>2.3434849800622954</c:v>
                </c:pt>
                <c:pt idx="632">
                  <c:v>2.3434480638302571</c:v>
                </c:pt>
                <c:pt idx="633">
                  <c:v>2.343411147883641</c:v>
                </c:pt>
                <c:pt idx="634">
                  <c:v>2.3433742322224322</c:v>
                </c:pt>
                <c:pt idx="635">
                  <c:v>2.343337316846644</c:v>
                </c:pt>
                <c:pt idx="636">
                  <c:v>2.3433004017562711</c:v>
                </c:pt>
                <c:pt idx="637">
                  <c:v>2.3432634869513196</c:v>
                </c:pt>
                <c:pt idx="638">
                  <c:v>2.3432265724317851</c:v>
                </c:pt>
                <c:pt idx="639">
                  <c:v>2.3431896581976703</c:v>
                </c:pt>
                <c:pt idx="640">
                  <c:v>2.3431527442489779</c:v>
                </c:pt>
                <c:pt idx="641">
                  <c:v>2.3431158305857043</c:v>
                </c:pt>
                <c:pt idx="642">
                  <c:v>2.3430789172078548</c:v>
                </c:pt>
                <c:pt idx="643">
                  <c:v>2.343042004115425</c:v>
                </c:pt>
                <c:pt idx="644">
                  <c:v>2.3430050913084193</c:v>
                </c:pt>
                <c:pt idx="645">
                  <c:v>2.3429681787868422</c:v>
                </c:pt>
                <c:pt idx="646">
                  <c:v>2.3429312665506856</c:v>
                </c:pt>
                <c:pt idx="647">
                  <c:v>2.3428943545999568</c:v>
                </c:pt>
                <c:pt idx="648">
                  <c:v>2.342857442934652</c:v>
                </c:pt>
                <c:pt idx="649">
                  <c:v>2.3428205315547741</c:v>
                </c:pt>
                <c:pt idx="650">
                  <c:v>2.342783620460323</c:v>
                </c:pt>
                <c:pt idx="651">
                  <c:v>2.3427467096512995</c:v>
                </c:pt>
                <c:pt idx="652">
                  <c:v>2.3427097991277073</c:v>
                </c:pt>
                <c:pt idx="653">
                  <c:v>2.3426728888895481</c:v>
                </c:pt>
                <c:pt idx="654">
                  <c:v>2.3426359789368156</c:v>
                </c:pt>
                <c:pt idx="655">
                  <c:v>2.3425990692695144</c:v>
                </c:pt>
                <c:pt idx="656">
                  <c:v>2.3425621598876454</c:v>
                </c:pt>
                <c:pt idx="657">
                  <c:v>2.3425252507912111</c:v>
                </c:pt>
                <c:pt idx="658">
                  <c:v>2.3424883419802089</c:v>
                </c:pt>
                <c:pt idx="659">
                  <c:v>2.3424514334546416</c:v>
                </c:pt>
                <c:pt idx="660">
                  <c:v>2.3424145252145081</c:v>
                </c:pt>
                <c:pt idx="661">
                  <c:v>2.3423776172598121</c:v>
                </c:pt>
                <c:pt idx="662">
                  <c:v>2.3423407095905482</c:v>
                </c:pt>
                <c:pt idx="663">
                  <c:v>2.3423038022067244</c:v>
                </c:pt>
                <c:pt idx="664">
                  <c:v>2.342266895108339</c:v>
                </c:pt>
                <c:pt idx="665">
                  <c:v>2.3422299882953945</c:v>
                </c:pt>
                <c:pt idx="666">
                  <c:v>2.3421930817678849</c:v>
                </c:pt>
                <c:pt idx="667">
                  <c:v>2.3421561755258145</c:v>
                </c:pt>
                <c:pt idx="668">
                  <c:v>2.3421192695691904</c:v>
                </c:pt>
                <c:pt idx="669">
                  <c:v>2.3420823638980046</c:v>
                </c:pt>
                <c:pt idx="670">
                  <c:v>2.3420454585122625</c:v>
                </c:pt>
                <c:pt idx="671">
                  <c:v>2.3420085534119632</c:v>
                </c:pt>
                <c:pt idx="672">
                  <c:v>2.3419716485971067</c:v>
                </c:pt>
                <c:pt idx="673">
                  <c:v>2.3419347440676948</c:v>
                </c:pt>
                <c:pt idx="674">
                  <c:v>2.3418978398237327</c:v>
                </c:pt>
                <c:pt idx="675">
                  <c:v>2.341860935865208</c:v>
                </c:pt>
                <c:pt idx="676">
                  <c:v>2.3418240321921351</c:v>
                </c:pt>
                <c:pt idx="677">
                  <c:v>2.3417871288045111</c:v>
                </c:pt>
                <c:pt idx="678">
                  <c:v>2.341750225702329</c:v>
                </c:pt>
                <c:pt idx="679">
                  <c:v>2.3417133228856004</c:v>
                </c:pt>
                <c:pt idx="680">
                  <c:v>2.3416764203543208</c:v>
                </c:pt>
                <c:pt idx="681">
                  <c:v>2.3416395181084884</c:v>
                </c:pt>
                <c:pt idx="682">
                  <c:v>2.3416026161481094</c:v>
                </c:pt>
                <c:pt idx="683">
                  <c:v>2.3415657144731821</c:v>
                </c:pt>
                <c:pt idx="684">
                  <c:v>2.3415288130837064</c:v>
                </c:pt>
                <c:pt idx="685">
                  <c:v>2.3414919119796842</c:v>
                </c:pt>
                <c:pt idx="686">
                  <c:v>2.3414550111611154</c:v>
                </c:pt>
                <c:pt idx="687">
                  <c:v>2.3414181106280054</c:v>
                </c:pt>
                <c:pt idx="688">
                  <c:v>2.3413812103803471</c:v>
                </c:pt>
                <c:pt idx="689">
                  <c:v>2.3413443104181466</c:v>
                </c:pt>
                <c:pt idx="690">
                  <c:v>2.341307410741404</c:v>
                </c:pt>
                <c:pt idx="691">
                  <c:v>2.3412705113501167</c:v>
                </c:pt>
                <c:pt idx="692">
                  <c:v>2.3412336122442845</c:v>
                </c:pt>
                <c:pt idx="693">
                  <c:v>2.3411967134239173</c:v>
                </c:pt>
                <c:pt idx="694">
                  <c:v>2.3411598148890036</c:v>
                </c:pt>
                <c:pt idx="695">
                  <c:v>2.3411229166395549</c:v>
                </c:pt>
                <c:pt idx="696">
                  <c:v>2.3410860186755666</c:v>
                </c:pt>
                <c:pt idx="697">
                  <c:v>2.341049120997039</c:v>
                </c:pt>
                <c:pt idx="698">
                  <c:v>2.3410122236039754</c:v>
                </c:pt>
                <c:pt idx="699">
                  <c:v>2.3409753264963742</c:v>
                </c:pt>
                <c:pt idx="700">
                  <c:v>2.3409384296742362</c:v>
                </c:pt>
                <c:pt idx="701">
                  <c:v>2.3409015331375658</c:v>
                </c:pt>
                <c:pt idx="702">
                  <c:v>2.3408646368863604</c:v>
                </c:pt>
                <c:pt idx="703">
                  <c:v>2.3408277409206173</c:v>
                </c:pt>
                <c:pt idx="704">
                  <c:v>2.3407908452403428</c:v>
                </c:pt>
                <c:pt idx="705">
                  <c:v>2.3407539498455376</c:v>
                </c:pt>
                <c:pt idx="706">
                  <c:v>2.3407170547361984</c:v>
                </c:pt>
                <c:pt idx="707">
                  <c:v>2.3406801599123312</c:v>
                </c:pt>
                <c:pt idx="708">
                  <c:v>2.3406432653739344</c:v>
                </c:pt>
                <c:pt idx="709">
                  <c:v>2.3406063711210052</c:v>
                </c:pt>
                <c:pt idx="710">
                  <c:v>2.3405694771535499</c:v>
                </c:pt>
                <c:pt idx="711">
                  <c:v>2.3405325834715622</c:v>
                </c:pt>
                <c:pt idx="712">
                  <c:v>2.3404956900750529</c:v>
                </c:pt>
                <c:pt idx="713">
                  <c:v>2.340458796964012</c:v>
                </c:pt>
                <c:pt idx="714">
                  <c:v>2.3404219041384513</c:v>
                </c:pt>
                <c:pt idx="715">
                  <c:v>2.3403850115983618</c:v>
                </c:pt>
                <c:pt idx="716">
                  <c:v>2.3403481193437496</c:v>
                </c:pt>
                <c:pt idx="717">
                  <c:v>2.3403112273746105</c:v>
                </c:pt>
                <c:pt idx="718">
                  <c:v>2.3402743356909488</c:v>
                </c:pt>
                <c:pt idx="719">
                  <c:v>2.3402374442927663</c:v>
                </c:pt>
                <c:pt idx="720">
                  <c:v>2.340200553180062</c:v>
                </c:pt>
                <c:pt idx="721">
                  <c:v>2.3401636623528388</c:v>
                </c:pt>
                <c:pt idx="722">
                  <c:v>2.3401267718110921</c:v>
                </c:pt>
                <c:pt idx="723">
                  <c:v>2.340089881554829</c:v>
                </c:pt>
                <c:pt idx="724">
                  <c:v>2.3400529915840487</c:v>
                </c:pt>
                <c:pt idx="725">
                  <c:v>2.3400161018987484</c:v>
                </c:pt>
                <c:pt idx="726">
                  <c:v>2.3399792124989318</c:v>
                </c:pt>
                <c:pt idx="727">
                  <c:v>2.3399423233845997</c:v>
                </c:pt>
                <c:pt idx="728">
                  <c:v>2.339905434555746</c:v>
                </c:pt>
                <c:pt idx="729">
                  <c:v>2.3398685460123838</c:v>
                </c:pt>
                <c:pt idx="730">
                  <c:v>2.3398316577545017</c:v>
                </c:pt>
                <c:pt idx="731">
                  <c:v>2.339794769782114</c:v>
                </c:pt>
                <c:pt idx="732">
                  <c:v>2.3397578820952072</c:v>
                </c:pt>
                <c:pt idx="733">
                  <c:v>2.3397209946937938</c:v>
                </c:pt>
                <c:pt idx="734">
                  <c:v>2.3396841075778632</c:v>
                </c:pt>
                <c:pt idx="735">
                  <c:v>2.3396472207474224</c:v>
                </c:pt>
                <c:pt idx="736">
                  <c:v>2.339610334202475</c:v>
                </c:pt>
                <c:pt idx="737">
                  <c:v>2.3395734479430184</c:v>
                </c:pt>
                <c:pt idx="738">
                  <c:v>2.339536561969048</c:v>
                </c:pt>
                <c:pt idx="739">
                  <c:v>2.3394996762805782</c:v>
                </c:pt>
                <c:pt idx="740">
                  <c:v>2.3394627908775947</c:v>
                </c:pt>
                <c:pt idx="741">
                  <c:v>2.3394259057601063</c:v>
                </c:pt>
                <c:pt idx="742">
                  <c:v>2.3393890209281132</c:v>
                </c:pt>
                <c:pt idx="743">
                  <c:v>2.3393521363816161</c:v>
                </c:pt>
                <c:pt idx="744">
                  <c:v>2.3393152521206151</c:v>
                </c:pt>
                <c:pt idx="745">
                  <c:v>2.3392783681451066</c:v>
                </c:pt>
                <c:pt idx="746">
                  <c:v>2.3392414844551013</c:v>
                </c:pt>
                <c:pt idx="747">
                  <c:v>2.3392046010505911</c:v>
                </c:pt>
                <c:pt idx="748">
                  <c:v>2.339167717931578</c:v>
                </c:pt>
                <c:pt idx="749">
                  <c:v>2.3391308350980689</c:v>
                </c:pt>
                <c:pt idx="750">
                  <c:v>2.3390939525500558</c:v>
                </c:pt>
                <c:pt idx="751">
                  <c:v>2.3390570702875424</c:v>
                </c:pt>
                <c:pt idx="752">
                  <c:v>2.3390201883105357</c:v>
                </c:pt>
                <c:pt idx="753">
                  <c:v>2.3389833066190304</c:v>
                </c:pt>
                <c:pt idx="754">
                  <c:v>2.3389464252130319</c:v>
                </c:pt>
                <c:pt idx="755">
                  <c:v>2.3389095440925276</c:v>
                </c:pt>
                <c:pt idx="756">
                  <c:v>2.3388726632575336</c:v>
                </c:pt>
                <c:pt idx="757">
                  <c:v>2.3388357827080455</c:v>
                </c:pt>
                <c:pt idx="758">
                  <c:v>2.3387989024440605</c:v>
                </c:pt>
                <c:pt idx="759">
                  <c:v>2.3387620224655841</c:v>
                </c:pt>
                <c:pt idx="760">
                  <c:v>2.3387251427726152</c:v>
                </c:pt>
                <c:pt idx="761">
                  <c:v>2.3386882633651567</c:v>
                </c:pt>
                <c:pt idx="762">
                  <c:v>2.3386513842431986</c:v>
                </c:pt>
                <c:pt idx="763">
                  <c:v>2.3386145054067589</c:v>
                </c:pt>
                <c:pt idx="764">
                  <c:v>2.3385776268558267</c:v>
                </c:pt>
                <c:pt idx="765">
                  <c:v>2.338540748590404</c:v>
                </c:pt>
                <c:pt idx="766">
                  <c:v>2.3385038706104933</c:v>
                </c:pt>
                <c:pt idx="767">
                  <c:v>2.3384669929160982</c:v>
                </c:pt>
                <c:pt idx="768">
                  <c:v>2.3384301155072178</c:v>
                </c:pt>
                <c:pt idx="769">
                  <c:v>2.3383932383838424</c:v>
                </c:pt>
                <c:pt idx="770">
                  <c:v>2.3383563615459906</c:v>
                </c:pt>
                <c:pt idx="771">
                  <c:v>2.3383194849936464</c:v>
                </c:pt>
                <c:pt idx="772">
                  <c:v>2.3382826087268223</c:v>
                </c:pt>
                <c:pt idx="773">
                  <c:v>2.3382457327455164</c:v>
                </c:pt>
                <c:pt idx="774">
                  <c:v>2.3382088570497261</c:v>
                </c:pt>
                <c:pt idx="775">
                  <c:v>2.3381719816394533</c:v>
                </c:pt>
                <c:pt idx="776">
                  <c:v>2.3381351065146978</c:v>
                </c:pt>
                <c:pt idx="777">
                  <c:v>2.3380982316754668</c:v>
                </c:pt>
                <c:pt idx="778">
                  <c:v>2.3380613571217541</c:v>
                </c:pt>
                <c:pt idx="779">
                  <c:v>2.3380244828535615</c:v>
                </c:pt>
                <c:pt idx="780">
                  <c:v>2.3379876088708933</c:v>
                </c:pt>
                <c:pt idx="781">
                  <c:v>2.3379507351737452</c:v>
                </c:pt>
                <c:pt idx="782">
                  <c:v>2.3379138617621216</c:v>
                </c:pt>
                <c:pt idx="783">
                  <c:v>2.337876988636018</c:v>
                </c:pt>
                <c:pt idx="784">
                  <c:v>2.3378401157954425</c:v>
                </c:pt>
                <c:pt idx="785">
                  <c:v>2.3378032432403941</c:v>
                </c:pt>
                <c:pt idx="786">
                  <c:v>2.3377663709708703</c:v>
                </c:pt>
                <c:pt idx="787">
                  <c:v>2.3377294989868744</c:v>
                </c:pt>
                <c:pt idx="788">
                  <c:v>2.3376926272884049</c:v>
                </c:pt>
                <c:pt idx="789">
                  <c:v>2.3376557558754634</c:v>
                </c:pt>
                <c:pt idx="790">
                  <c:v>2.3376188847480517</c:v>
                </c:pt>
                <c:pt idx="791">
                  <c:v>2.3375820139061672</c:v>
                </c:pt>
                <c:pt idx="792">
                  <c:v>2.3375451433498178</c:v>
                </c:pt>
                <c:pt idx="793">
                  <c:v>2.3375082730789947</c:v>
                </c:pt>
                <c:pt idx="794">
                  <c:v>2.3374714030937076</c:v>
                </c:pt>
                <c:pt idx="795">
                  <c:v>2.337434533393953</c:v>
                </c:pt>
                <c:pt idx="796">
                  <c:v>2.33739766397973</c:v>
                </c:pt>
                <c:pt idx="797">
                  <c:v>2.3373607948510404</c:v>
                </c:pt>
                <c:pt idx="798">
                  <c:v>2.3373239260078833</c:v>
                </c:pt>
                <c:pt idx="799">
                  <c:v>2.3372870574502649</c:v>
                </c:pt>
                <c:pt idx="800">
                  <c:v>2.3372501891781834</c:v>
                </c:pt>
                <c:pt idx="801">
                  <c:v>2.3372133211916379</c:v>
                </c:pt>
                <c:pt idx="802">
                  <c:v>2.3371764534906285</c:v>
                </c:pt>
                <c:pt idx="803">
                  <c:v>2.3371395860751578</c:v>
                </c:pt>
                <c:pt idx="804">
                  <c:v>2.3371027189452311</c:v>
                </c:pt>
                <c:pt idx="805">
                  <c:v>2.3370658521008378</c:v>
                </c:pt>
                <c:pt idx="806">
                  <c:v>2.3370289855419886</c:v>
                </c:pt>
                <c:pt idx="807">
                  <c:v>2.3369921192686816</c:v>
                </c:pt>
                <c:pt idx="808">
                  <c:v>2.3369552532809132</c:v>
                </c:pt>
                <c:pt idx="809">
                  <c:v>2.336918387578689</c:v>
                </c:pt>
                <c:pt idx="810">
                  <c:v>2.3368815221620105</c:v>
                </c:pt>
                <c:pt idx="811">
                  <c:v>2.3368446570308707</c:v>
                </c:pt>
                <c:pt idx="812">
                  <c:v>2.3368077921852803</c:v>
                </c:pt>
                <c:pt idx="813">
                  <c:v>2.3367709276252295</c:v>
                </c:pt>
                <c:pt idx="814">
                  <c:v>2.3367340633507316</c:v>
                </c:pt>
                <c:pt idx="815">
                  <c:v>2.3366971993617769</c:v>
                </c:pt>
                <c:pt idx="816">
                  <c:v>2.3366603356583697</c:v>
                </c:pt>
                <c:pt idx="817">
                  <c:v>2.3366234722405119</c:v>
                </c:pt>
                <c:pt idx="818">
                  <c:v>2.3365866091082026</c:v>
                </c:pt>
                <c:pt idx="819">
                  <c:v>2.3365497462614444</c:v>
                </c:pt>
                <c:pt idx="820">
                  <c:v>2.336512883700232</c:v>
                </c:pt>
                <c:pt idx="821">
                  <c:v>2.3364760214245797</c:v>
                </c:pt>
                <c:pt idx="822">
                  <c:v>2.336439159434474</c:v>
                </c:pt>
                <c:pt idx="823">
                  <c:v>2.3364022977299213</c:v>
                </c:pt>
                <c:pt idx="824">
                  <c:v>2.3363654363109223</c:v>
                </c:pt>
                <c:pt idx="825">
                  <c:v>2.3363285751774789</c:v>
                </c:pt>
                <c:pt idx="826">
                  <c:v>2.3362917143295867</c:v>
                </c:pt>
                <c:pt idx="827">
                  <c:v>2.3362548537672518</c:v>
                </c:pt>
                <c:pt idx="828">
                  <c:v>2.3362179934904761</c:v>
                </c:pt>
                <c:pt idx="829">
                  <c:v>2.3361811334992559</c:v>
                </c:pt>
                <c:pt idx="830">
                  <c:v>2.3361442737935869</c:v>
                </c:pt>
                <c:pt idx="831">
                  <c:v>2.3361074143734797</c:v>
                </c:pt>
                <c:pt idx="832">
                  <c:v>2.3360705552389351</c:v>
                </c:pt>
                <c:pt idx="833">
                  <c:v>2.3360336963899488</c:v>
                </c:pt>
                <c:pt idx="834">
                  <c:v>2.3359968378265252</c:v>
                </c:pt>
                <c:pt idx="835">
                  <c:v>2.335959979548659</c:v>
                </c:pt>
                <c:pt idx="836">
                  <c:v>2.3359231215563581</c:v>
                </c:pt>
                <c:pt idx="837">
                  <c:v>2.3358862638496154</c:v>
                </c:pt>
                <c:pt idx="838">
                  <c:v>2.3358494064284434</c:v>
                </c:pt>
                <c:pt idx="839">
                  <c:v>2.3358125492928323</c:v>
                </c:pt>
                <c:pt idx="840">
                  <c:v>2.3357756924427813</c:v>
                </c:pt>
                <c:pt idx="841">
                  <c:v>2.3357388358783</c:v>
                </c:pt>
                <c:pt idx="842">
                  <c:v>2.3357019795993832</c:v>
                </c:pt>
                <c:pt idx="843">
                  <c:v>2.3356651236060344</c:v>
                </c:pt>
                <c:pt idx="844">
                  <c:v>2.3356282678982527</c:v>
                </c:pt>
                <c:pt idx="845">
                  <c:v>2.3355914124760391</c:v>
                </c:pt>
                <c:pt idx="846">
                  <c:v>2.3355545573393952</c:v>
                </c:pt>
                <c:pt idx="847">
                  <c:v>2.3355177024883265</c:v>
                </c:pt>
                <c:pt idx="848">
                  <c:v>2.3354808479228231</c:v>
                </c:pt>
                <c:pt idx="849">
                  <c:v>2.3354439936428912</c:v>
                </c:pt>
                <c:pt idx="850">
                  <c:v>2.3354071396485292</c:v>
                </c:pt>
                <c:pt idx="851">
                  <c:v>2.3353702859397414</c:v>
                </c:pt>
                <c:pt idx="852">
                  <c:v>2.3353334325165296</c:v>
                </c:pt>
                <c:pt idx="853">
                  <c:v>2.3352965793788858</c:v>
                </c:pt>
                <c:pt idx="854">
                  <c:v>2.335259726526826</c:v>
                </c:pt>
                <c:pt idx="855">
                  <c:v>2.3352228739603342</c:v>
                </c:pt>
                <c:pt idx="856">
                  <c:v>2.3351860216794202</c:v>
                </c:pt>
                <c:pt idx="857">
                  <c:v>2.335149169684084</c:v>
                </c:pt>
                <c:pt idx="858">
                  <c:v>2.3351123179743274</c:v>
                </c:pt>
                <c:pt idx="859">
                  <c:v>2.335075466550145</c:v>
                </c:pt>
                <c:pt idx="860">
                  <c:v>2.3350386154115448</c:v>
                </c:pt>
                <c:pt idx="861">
                  <c:v>2.3350017645585233</c:v>
                </c:pt>
                <c:pt idx="862">
                  <c:v>2.3349649139910813</c:v>
                </c:pt>
                <c:pt idx="863">
                  <c:v>2.3349280637092225</c:v>
                </c:pt>
                <c:pt idx="864">
                  <c:v>2.3348912137129441</c:v>
                </c:pt>
                <c:pt idx="865">
                  <c:v>2.3348543640022514</c:v>
                </c:pt>
                <c:pt idx="866">
                  <c:v>2.3348175145771375</c:v>
                </c:pt>
                <c:pt idx="867">
                  <c:v>2.3347806654376075</c:v>
                </c:pt>
                <c:pt idx="868">
                  <c:v>2.3347438165836651</c:v>
                </c:pt>
                <c:pt idx="869">
                  <c:v>2.3347069680153076</c:v>
                </c:pt>
                <c:pt idx="870">
                  <c:v>2.3346701197325359</c:v>
                </c:pt>
                <c:pt idx="871">
                  <c:v>2.3346332717353535</c:v>
                </c:pt>
                <c:pt idx="872">
                  <c:v>2.3345964240237524</c:v>
                </c:pt>
                <c:pt idx="873">
                  <c:v>2.3345595765977478</c:v>
                </c:pt>
                <c:pt idx="874">
                  <c:v>2.3345227294573307</c:v>
                </c:pt>
                <c:pt idx="875">
                  <c:v>2.3344858826025012</c:v>
                </c:pt>
                <c:pt idx="876">
                  <c:v>2.3344490360332601</c:v>
                </c:pt>
                <c:pt idx="877">
                  <c:v>2.334412189749612</c:v>
                </c:pt>
                <c:pt idx="878">
                  <c:v>2.3343753437515558</c:v>
                </c:pt>
                <c:pt idx="879">
                  <c:v>2.3343384980390915</c:v>
                </c:pt>
                <c:pt idx="880">
                  <c:v>2.3343016526122256</c:v>
                </c:pt>
                <c:pt idx="881">
                  <c:v>2.3342648074709462</c:v>
                </c:pt>
                <c:pt idx="882">
                  <c:v>2.3342279626152669</c:v>
                </c:pt>
                <c:pt idx="883">
                  <c:v>2.3341911180451849</c:v>
                </c:pt>
                <c:pt idx="884">
                  <c:v>2.3341542737606922</c:v>
                </c:pt>
                <c:pt idx="885">
                  <c:v>2.3341174297617977</c:v>
                </c:pt>
                <c:pt idx="886">
                  <c:v>2.3340805860485068</c:v>
                </c:pt>
                <c:pt idx="887">
                  <c:v>2.3340437426208078</c:v>
                </c:pt>
                <c:pt idx="888">
                  <c:v>2.3340068994787089</c:v>
                </c:pt>
                <c:pt idx="889">
                  <c:v>2.3339700566222117</c:v>
                </c:pt>
                <c:pt idx="890">
                  <c:v>2.3339332140513109</c:v>
                </c:pt>
                <c:pt idx="891">
                  <c:v>2.3338963717660164</c:v>
                </c:pt>
                <c:pt idx="892">
                  <c:v>2.3338595297663236</c:v>
                </c:pt>
                <c:pt idx="893">
                  <c:v>2.333822688052229</c:v>
                </c:pt>
                <c:pt idx="894">
                  <c:v>2.3337858466237424</c:v>
                </c:pt>
                <c:pt idx="895">
                  <c:v>2.3337490054808585</c:v>
                </c:pt>
                <c:pt idx="896">
                  <c:v>2.3337121646235754</c:v>
                </c:pt>
                <c:pt idx="897">
                  <c:v>2.333675324051903</c:v>
                </c:pt>
                <c:pt idx="898">
                  <c:v>2.3336384837658333</c:v>
                </c:pt>
                <c:pt idx="899">
                  <c:v>2.3336016437653759</c:v>
                </c:pt>
                <c:pt idx="900">
                  <c:v>2.3335648040505221</c:v>
                </c:pt>
                <c:pt idx="901">
                  <c:v>2.3335279646212728</c:v>
                </c:pt>
                <c:pt idx="902">
                  <c:v>2.3334911254776403</c:v>
                </c:pt>
                <c:pt idx="903">
                  <c:v>2.3334542866196113</c:v>
                </c:pt>
                <c:pt idx="904">
                  <c:v>2.3334174480471956</c:v>
                </c:pt>
                <c:pt idx="905">
                  <c:v>2.3333806097603853</c:v>
                </c:pt>
                <c:pt idx="906">
                  <c:v>2.3333437717591936</c:v>
                </c:pt>
                <c:pt idx="907">
                  <c:v>2.3333069340436134</c:v>
                </c:pt>
                <c:pt idx="908">
                  <c:v>2.3332700966136484</c:v>
                </c:pt>
                <c:pt idx="909">
                  <c:v>2.3332332594692931</c:v>
                </c:pt>
                <c:pt idx="910">
                  <c:v>2.333196422610551</c:v>
                </c:pt>
                <c:pt idx="911">
                  <c:v>2.3331595860374259</c:v>
                </c:pt>
                <c:pt idx="912">
                  <c:v>2.3331227497499185</c:v>
                </c:pt>
                <c:pt idx="913">
                  <c:v>2.3330859137480298</c:v>
                </c:pt>
                <c:pt idx="914">
                  <c:v>2.333049078031757</c:v>
                </c:pt>
                <c:pt idx="915">
                  <c:v>2.3330122426011002</c:v>
                </c:pt>
                <c:pt idx="916">
                  <c:v>2.3329754074560585</c:v>
                </c:pt>
                <c:pt idx="917">
                  <c:v>2.3329385725966434</c:v>
                </c:pt>
                <c:pt idx="918">
                  <c:v>2.3329017380228452</c:v>
                </c:pt>
                <c:pt idx="919">
                  <c:v>2.3328649037346727</c:v>
                </c:pt>
                <c:pt idx="920">
                  <c:v>2.3328280697321162</c:v>
                </c:pt>
                <c:pt idx="921">
                  <c:v>2.3327912360151846</c:v>
                </c:pt>
                <c:pt idx="922">
                  <c:v>2.3327544025838707</c:v>
                </c:pt>
                <c:pt idx="923">
                  <c:v>2.332717569438187</c:v>
                </c:pt>
                <c:pt idx="924">
                  <c:v>2.3326807365781264</c:v>
                </c:pt>
                <c:pt idx="925">
                  <c:v>2.3326439040036941</c:v>
                </c:pt>
                <c:pt idx="926">
                  <c:v>2.3326070717148824</c:v>
                </c:pt>
                <c:pt idx="927">
                  <c:v>2.3325702397116981</c:v>
                </c:pt>
                <c:pt idx="928">
                  <c:v>2.3325334079941422</c:v>
                </c:pt>
                <c:pt idx="929">
                  <c:v>2.3324965765622192</c:v>
                </c:pt>
                <c:pt idx="930">
                  <c:v>2.3324597454159202</c:v>
                </c:pt>
                <c:pt idx="931">
                  <c:v>2.332422914555254</c:v>
                </c:pt>
                <c:pt idx="932">
                  <c:v>2.3323860839802135</c:v>
                </c:pt>
                <c:pt idx="933">
                  <c:v>2.3323492536908041</c:v>
                </c:pt>
                <c:pt idx="934">
                  <c:v>2.3323124236870276</c:v>
                </c:pt>
                <c:pt idx="935">
                  <c:v>2.332275593968884</c:v>
                </c:pt>
                <c:pt idx="936">
                  <c:v>2.332238764536374</c:v>
                </c:pt>
                <c:pt idx="937">
                  <c:v>2.3322019353894978</c:v>
                </c:pt>
                <c:pt idx="938">
                  <c:v>2.3321651065282536</c:v>
                </c:pt>
                <c:pt idx="939">
                  <c:v>2.3321282779526511</c:v>
                </c:pt>
                <c:pt idx="940">
                  <c:v>2.332091449662677</c:v>
                </c:pt>
                <c:pt idx="941">
                  <c:v>2.3320546216583411</c:v>
                </c:pt>
                <c:pt idx="942">
                  <c:v>2.3320177939396451</c:v>
                </c:pt>
                <c:pt idx="943">
                  <c:v>2.3319809665065829</c:v>
                </c:pt>
                <c:pt idx="944">
                  <c:v>2.3319441393591651</c:v>
                </c:pt>
                <c:pt idx="945">
                  <c:v>2.3319073124973837</c:v>
                </c:pt>
                <c:pt idx="946">
                  <c:v>2.3318704859212414</c:v>
                </c:pt>
                <c:pt idx="947">
                  <c:v>2.331833659630739</c:v>
                </c:pt>
                <c:pt idx="948">
                  <c:v>2.331796833625881</c:v>
                </c:pt>
                <c:pt idx="949">
                  <c:v>2.3317600079066629</c:v>
                </c:pt>
                <c:pt idx="950">
                  <c:v>2.3317231824730884</c:v>
                </c:pt>
                <c:pt idx="951">
                  <c:v>2.3316863573251592</c:v>
                </c:pt>
                <c:pt idx="952">
                  <c:v>2.3316495324628708</c:v>
                </c:pt>
                <c:pt idx="953">
                  <c:v>2.3316127078862294</c:v>
                </c:pt>
                <c:pt idx="954">
                  <c:v>2.3315758835952334</c:v>
                </c:pt>
                <c:pt idx="955">
                  <c:v>2.3315390595898862</c:v>
                </c:pt>
                <c:pt idx="956">
                  <c:v>2.3315022358701833</c:v>
                </c:pt>
                <c:pt idx="957">
                  <c:v>2.3314654124361276</c:v>
                </c:pt>
                <c:pt idx="958">
                  <c:v>2.331428589287726</c:v>
                </c:pt>
                <c:pt idx="959">
                  <c:v>2.3313917664249653</c:v>
                </c:pt>
                <c:pt idx="960">
                  <c:v>2.3313549438478596</c:v>
                </c:pt>
                <c:pt idx="961">
                  <c:v>2.3313181215564027</c:v>
                </c:pt>
                <c:pt idx="962">
                  <c:v>2.3312812995506</c:v>
                </c:pt>
                <c:pt idx="963">
                  <c:v>2.3312444778304471</c:v>
                </c:pt>
                <c:pt idx="964">
                  <c:v>2.3312076563959483</c:v>
                </c:pt>
                <c:pt idx="965">
                  <c:v>2.3311708352471019</c:v>
                </c:pt>
                <c:pt idx="966">
                  <c:v>2.3311340143839105</c:v>
                </c:pt>
                <c:pt idx="967">
                  <c:v>2.3310971938063743</c:v>
                </c:pt>
                <c:pt idx="968">
                  <c:v>2.3310603735144921</c:v>
                </c:pt>
                <c:pt idx="969">
                  <c:v>2.3310235535082686</c:v>
                </c:pt>
                <c:pt idx="970">
                  <c:v>2.330986733787701</c:v>
                </c:pt>
                <c:pt idx="971">
                  <c:v>2.3309499143527876</c:v>
                </c:pt>
                <c:pt idx="972">
                  <c:v>2.3309130952035373</c:v>
                </c:pt>
                <c:pt idx="973">
                  <c:v>2.3308762763399438</c:v>
                </c:pt>
                <c:pt idx="974">
                  <c:v>2.3308394577620124</c:v>
                </c:pt>
                <c:pt idx="975">
                  <c:v>2.3308026394697379</c:v>
                </c:pt>
                <c:pt idx="976">
                  <c:v>2.3307658214631291</c:v>
                </c:pt>
                <c:pt idx="977">
                  <c:v>2.3307290037421771</c:v>
                </c:pt>
                <c:pt idx="978">
                  <c:v>2.3306921863068943</c:v>
                </c:pt>
                <c:pt idx="979">
                  <c:v>2.3306553691572676</c:v>
                </c:pt>
                <c:pt idx="980">
                  <c:v>2.3306185522933092</c:v>
                </c:pt>
                <c:pt idx="981">
                  <c:v>2.33058173571502</c:v>
                </c:pt>
                <c:pt idx="982">
                  <c:v>2.3305449194223868</c:v>
                </c:pt>
                <c:pt idx="983">
                  <c:v>2.3305081034154256</c:v>
                </c:pt>
                <c:pt idx="984">
                  <c:v>2.3304712876941318</c:v>
                </c:pt>
                <c:pt idx="985">
                  <c:v>2.3304344722585029</c:v>
                </c:pt>
                <c:pt idx="986">
                  <c:v>2.3303976571085432</c:v>
                </c:pt>
                <c:pt idx="987">
                  <c:v>2.3303608422442545</c:v>
                </c:pt>
                <c:pt idx="988">
                  <c:v>2.3303240276656281</c:v>
                </c:pt>
                <c:pt idx="989">
                  <c:v>2.3302872133726771</c:v>
                </c:pt>
                <c:pt idx="990">
                  <c:v>2.3302503993654025</c:v>
                </c:pt>
                <c:pt idx="991">
                  <c:v>2.3302135856437927</c:v>
                </c:pt>
                <c:pt idx="992">
                  <c:v>2.3301767722078566</c:v>
                </c:pt>
                <c:pt idx="993">
                  <c:v>2.3301399590575969</c:v>
                </c:pt>
                <c:pt idx="994">
                  <c:v>2.3301031461930046</c:v>
                </c:pt>
                <c:pt idx="995">
                  <c:v>2.3300663336140905</c:v>
                </c:pt>
                <c:pt idx="996">
                  <c:v>2.3300295213208511</c:v>
                </c:pt>
                <c:pt idx="997">
                  <c:v>2.3299927093132924</c:v>
                </c:pt>
                <c:pt idx="998">
                  <c:v>2.3299558975914056</c:v>
                </c:pt>
                <c:pt idx="999">
                  <c:v>2.3299190861551988</c:v>
                </c:pt>
                <c:pt idx="1000">
                  <c:v>2.3298822750046684</c:v>
                </c:pt>
              </c:numCache>
            </c:numRef>
          </c:yVal>
          <c:smooth val="0"/>
          <c:extLst>
            <c:ext xmlns:c16="http://schemas.microsoft.com/office/drawing/2014/chart" uri="{C3380CC4-5D6E-409C-BE32-E72D297353CC}">
              <c16:uniqueId val="{00000000-BDD6-4E9B-9AFA-2396233049A9}"/>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33.600100000000211</c:v>
                </c:pt>
                <c:pt idx="518">
                  <c:v>33.600200000000214</c:v>
                </c:pt>
                <c:pt idx="519">
                  <c:v>33.600300000000217</c:v>
                </c:pt>
                <c:pt idx="520">
                  <c:v>33.600400000000221</c:v>
                </c:pt>
                <c:pt idx="521">
                  <c:v>33.600500000000224</c:v>
                </c:pt>
                <c:pt idx="522">
                  <c:v>33.600600000000227</c:v>
                </c:pt>
                <c:pt idx="523">
                  <c:v>33.600700000000231</c:v>
                </c:pt>
                <c:pt idx="524">
                  <c:v>33.600800000000234</c:v>
                </c:pt>
                <c:pt idx="525">
                  <c:v>33.600900000000237</c:v>
                </c:pt>
                <c:pt idx="526">
                  <c:v>33.601000000000241</c:v>
                </c:pt>
                <c:pt idx="527">
                  <c:v>33.601100000000244</c:v>
                </c:pt>
                <c:pt idx="528">
                  <c:v>33.601200000000247</c:v>
                </c:pt>
                <c:pt idx="529">
                  <c:v>33.601300000000251</c:v>
                </c:pt>
                <c:pt idx="530">
                  <c:v>33.601400000000254</c:v>
                </c:pt>
                <c:pt idx="531">
                  <c:v>33.601500000000257</c:v>
                </c:pt>
                <c:pt idx="532">
                  <c:v>33.601600000000261</c:v>
                </c:pt>
                <c:pt idx="533">
                  <c:v>33.601700000000264</c:v>
                </c:pt>
                <c:pt idx="534">
                  <c:v>33.601800000000267</c:v>
                </c:pt>
                <c:pt idx="535">
                  <c:v>33.601900000000271</c:v>
                </c:pt>
                <c:pt idx="536">
                  <c:v>33.602000000000274</c:v>
                </c:pt>
                <c:pt idx="537">
                  <c:v>33.602100000000277</c:v>
                </c:pt>
                <c:pt idx="538">
                  <c:v>33.602200000000281</c:v>
                </c:pt>
                <c:pt idx="539">
                  <c:v>33.602300000000284</c:v>
                </c:pt>
                <c:pt idx="540">
                  <c:v>33.602400000000287</c:v>
                </c:pt>
                <c:pt idx="541">
                  <c:v>33.60250000000029</c:v>
                </c:pt>
                <c:pt idx="542">
                  <c:v>33.602600000000294</c:v>
                </c:pt>
                <c:pt idx="543">
                  <c:v>33.602700000000297</c:v>
                </c:pt>
                <c:pt idx="544">
                  <c:v>33.6028000000003</c:v>
                </c:pt>
                <c:pt idx="545">
                  <c:v>33.602900000000304</c:v>
                </c:pt>
                <c:pt idx="546">
                  <c:v>33.603000000000307</c:v>
                </c:pt>
                <c:pt idx="547">
                  <c:v>33.60310000000031</c:v>
                </c:pt>
                <c:pt idx="548">
                  <c:v>33.603200000000314</c:v>
                </c:pt>
                <c:pt idx="549">
                  <c:v>33.603300000000317</c:v>
                </c:pt>
                <c:pt idx="550">
                  <c:v>33.60340000000032</c:v>
                </c:pt>
                <c:pt idx="551">
                  <c:v>33.603500000000324</c:v>
                </c:pt>
                <c:pt idx="552">
                  <c:v>33.603600000000327</c:v>
                </c:pt>
                <c:pt idx="553">
                  <c:v>33.60370000000033</c:v>
                </c:pt>
                <c:pt idx="554">
                  <c:v>33.603800000000334</c:v>
                </c:pt>
                <c:pt idx="555">
                  <c:v>33.603900000000337</c:v>
                </c:pt>
                <c:pt idx="556">
                  <c:v>33.60400000000034</c:v>
                </c:pt>
                <c:pt idx="557">
                  <c:v>33.604100000000344</c:v>
                </c:pt>
                <c:pt idx="558">
                  <c:v>33.604200000000347</c:v>
                </c:pt>
                <c:pt idx="559">
                  <c:v>33.60430000000035</c:v>
                </c:pt>
                <c:pt idx="560">
                  <c:v>33.604400000000354</c:v>
                </c:pt>
                <c:pt idx="561">
                  <c:v>33.604500000000357</c:v>
                </c:pt>
                <c:pt idx="562">
                  <c:v>33.60460000000036</c:v>
                </c:pt>
                <c:pt idx="563">
                  <c:v>33.604700000000364</c:v>
                </c:pt>
                <c:pt idx="564">
                  <c:v>33.604800000000367</c:v>
                </c:pt>
                <c:pt idx="565">
                  <c:v>33.60490000000037</c:v>
                </c:pt>
                <c:pt idx="566">
                  <c:v>33.605000000000373</c:v>
                </c:pt>
                <c:pt idx="567">
                  <c:v>33.605100000000377</c:v>
                </c:pt>
                <c:pt idx="568">
                  <c:v>33.60520000000038</c:v>
                </c:pt>
                <c:pt idx="569">
                  <c:v>33.605300000000383</c:v>
                </c:pt>
                <c:pt idx="570">
                  <c:v>33.605400000000387</c:v>
                </c:pt>
                <c:pt idx="571">
                  <c:v>33.60550000000039</c:v>
                </c:pt>
                <c:pt idx="572">
                  <c:v>33.605600000000393</c:v>
                </c:pt>
                <c:pt idx="573">
                  <c:v>33.605700000000397</c:v>
                </c:pt>
                <c:pt idx="574">
                  <c:v>33.6058000000004</c:v>
                </c:pt>
                <c:pt idx="575">
                  <c:v>33.605900000000403</c:v>
                </c:pt>
                <c:pt idx="576">
                  <c:v>33.606000000000407</c:v>
                </c:pt>
                <c:pt idx="577">
                  <c:v>33.60610000000041</c:v>
                </c:pt>
                <c:pt idx="578">
                  <c:v>33.606200000000413</c:v>
                </c:pt>
                <c:pt idx="579">
                  <c:v>33.606300000000417</c:v>
                </c:pt>
                <c:pt idx="580">
                  <c:v>33.60640000000042</c:v>
                </c:pt>
                <c:pt idx="581">
                  <c:v>33.606500000000423</c:v>
                </c:pt>
                <c:pt idx="582">
                  <c:v>33.606600000000427</c:v>
                </c:pt>
                <c:pt idx="583">
                  <c:v>33.60670000000043</c:v>
                </c:pt>
                <c:pt idx="584">
                  <c:v>33.606800000000433</c:v>
                </c:pt>
                <c:pt idx="585">
                  <c:v>33.606900000000437</c:v>
                </c:pt>
                <c:pt idx="586">
                  <c:v>33.60700000000044</c:v>
                </c:pt>
                <c:pt idx="587">
                  <c:v>33.607100000000443</c:v>
                </c:pt>
                <c:pt idx="588">
                  <c:v>33.607200000000446</c:v>
                </c:pt>
                <c:pt idx="589">
                  <c:v>33.60730000000045</c:v>
                </c:pt>
                <c:pt idx="590">
                  <c:v>33.607400000000453</c:v>
                </c:pt>
                <c:pt idx="591">
                  <c:v>33.607500000000456</c:v>
                </c:pt>
                <c:pt idx="592">
                  <c:v>33.60760000000046</c:v>
                </c:pt>
                <c:pt idx="593">
                  <c:v>33.607700000000463</c:v>
                </c:pt>
                <c:pt idx="594">
                  <c:v>33.607800000000466</c:v>
                </c:pt>
                <c:pt idx="595">
                  <c:v>33.60790000000047</c:v>
                </c:pt>
                <c:pt idx="596">
                  <c:v>33.608000000000473</c:v>
                </c:pt>
                <c:pt idx="597">
                  <c:v>33.608100000000476</c:v>
                </c:pt>
                <c:pt idx="598">
                  <c:v>33.60820000000048</c:v>
                </c:pt>
                <c:pt idx="599">
                  <c:v>33.608300000000483</c:v>
                </c:pt>
                <c:pt idx="600">
                  <c:v>33.608400000000486</c:v>
                </c:pt>
                <c:pt idx="601">
                  <c:v>33.60850000000049</c:v>
                </c:pt>
                <c:pt idx="602">
                  <c:v>33.608600000000493</c:v>
                </c:pt>
                <c:pt idx="603">
                  <c:v>33.608700000000496</c:v>
                </c:pt>
                <c:pt idx="604">
                  <c:v>33.6088000000005</c:v>
                </c:pt>
                <c:pt idx="605">
                  <c:v>33.608900000000503</c:v>
                </c:pt>
                <c:pt idx="606">
                  <c:v>33.609000000000506</c:v>
                </c:pt>
                <c:pt idx="607">
                  <c:v>33.60910000000051</c:v>
                </c:pt>
                <c:pt idx="608">
                  <c:v>33.609200000000513</c:v>
                </c:pt>
                <c:pt idx="609">
                  <c:v>33.609300000000516</c:v>
                </c:pt>
                <c:pt idx="610">
                  <c:v>33.60940000000052</c:v>
                </c:pt>
                <c:pt idx="611">
                  <c:v>33.609500000000523</c:v>
                </c:pt>
                <c:pt idx="612">
                  <c:v>33.609600000000526</c:v>
                </c:pt>
                <c:pt idx="613">
                  <c:v>33.609700000000529</c:v>
                </c:pt>
                <c:pt idx="614">
                  <c:v>33.609800000000533</c:v>
                </c:pt>
                <c:pt idx="615">
                  <c:v>33.609900000000536</c:v>
                </c:pt>
                <c:pt idx="616">
                  <c:v>33.610000000000539</c:v>
                </c:pt>
                <c:pt idx="617">
                  <c:v>33.610100000000543</c:v>
                </c:pt>
                <c:pt idx="618">
                  <c:v>33.610200000000546</c:v>
                </c:pt>
                <c:pt idx="619">
                  <c:v>33.610300000000549</c:v>
                </c:pt>
                <c:pt idx="620">
                  <c:v>33.610400000000553</c:v>
                </c:pt>
                <c:pt idx="621">
                  <c:v>33.610500000000556</c:v>
                </c:pt>
                <c:pt idx="622">
                  <c:v>33.610600000000559</c:v>
                </c:pt>
                <c:pt idx="623">
                  <c:v>33.610700000000563</c:v>
                </c:pt>
                <c:pt idx="624">
                  <c:v>33.610800000000566</c:v>
                </c:pt>
                <c:pt idx="625">
                  <c:v>33.610900000000569</c:v>
                </c:pt>
                <c:pt idx="626">
                  <c:v>33.611000000000573</c:v>
                </c:pt>
                <c:pt idx="627">
                  <c:v>33.611100000000576</c:v>
                </c:pt>
                <c:pt idx="628">
                  <c:v>33.611200000000579</c:v>
                </c:pt>
                <c:pt idx="629">
                  <c:v>33.611300000000583</c:v>
                </c:pt>
                <c:pt idx="630">
                  <c:v>33.611400000000586</c:v>
                </c:pt>
                <c:pt idx="631">
                  <c:v>33.611500000000589</c:v>
                </c:pt>
                <c:pt idx="632">
                  <c:v>33.611600000000593</c:v>
                </c:pt>
                <c:pt idx="633">
                  <c:v>33.611700000000596</c:v>
                </c:pt>
                <c:pt idx="634">
                  <c:v>33.611800000000599</c:v>
                </c:pt>
                <c:pt idx="635">
                  <c:v>33.611900000000603</c:v>
                </c:pt>
                <c:pt idx="636">
                  <c:v>33.612000000000606</c:v>
                </c:pt>
                <c:pt idx="637">
                  <c:v>33.612100000000609</c:v>
                </c:pt>
                <c:pt idx="638">
                  <c:v>33.612200000000612</c:v>
                </c:pt>
                <c:pt idx="639">
                  <c:v>33.612300000000616</c:v>
                </c:pt>
                <c:pt idx="640">
                  <c:v>33.612400000000619</c:v>
                </c:pt>
                <c:pt idx="641">
                  <c:v>33.612500000000622</c:v>
                </c:pt>
                <c:pt idx="642">
                  <c:v>33.612600000000626</c:v>
                </c:pt>
                <c:pt idx="643">
                  <c:v>33.612700000000629</c:v>
                </c:pt>
                <c:pt idx="644">
                  <c:v>33.612800000000632</c:v>
                </c:pt>
                <c:pt idx="645">
                  <c:v>33.612900000000636</c:v>
                </c:pt>
                <c:pt idx="646">
                  <c:v>33.613000000000639</c:v>
                </c:pt>
                <c:pt idx="647">
                  <c:v>33.613100000000642</c:v>
                </c:pt>
                <c:pt idx="648">
                  <c:v>33.613200000000646</c:v>
                </c:pt>
                <c:pt idx="649">
                  <c:v>33.613300000000649</c:v>
                </c:pt>
                <c:pt idx="650">
                  <c:v>33.613400000000652</c:v>
                </c:pt>
                <c:pt idx="651">
                  <c:v>33.613500000000656</c:v>
                </c:pt>
                <c:pt idx="652">
                  <c:v>33.613600000000659</c:v>
                </c:pt>
                <c:pt idx="653">
                  <c:v>33.613700000000662</c:v>
                </c:pt>
                <c:pt idx="654">
                  <c:v>33.613800000000666</c:v>
                </c:pt>
                <c:pt idx="655">
                  <c:v>33.613900000000669</c:v>
                </c:pt>
                <c:pt idx="656">
                  <c:v>33.614000000000672</c:v>
                </c:pt>
                <c:pt idx="657">
                  <c:v>33.614100000000676</c:v>
                </c:pt>
                <c:pt idx="658">
                  <c:v>33.614200000000679</c:v>
                </c:pt>
                <c:pt idx="659">
                  <c:v>33.614300000000682</c:v>
                </c:pt>
                <c:pt idx="660">
                  <c:v>33.614400000000686</c:v>
                </c:pt>
                <c:pt idx="661">
                  <c:v>33.614500000000689</c:v>
                </c:pt>
                <c:pt idx="662">
                  <c:v>33.614600000000692</c:v>
                </c:pt>
                <c:pt idx="663">
                  <c:v>33.614700000000695</c:v>
                </c:pt>
                <c:pt idx="664">
                  <c:v>33.614800000000699</c:v>
                </c:pt>
                <c:pt idx="665">
                  <c:v>33.614900000000702</c:v>
                </c:pt>
                <c:pt idx="666">
                  <c:v>33.615000000000705</c:v>
                </c:pt>
                <c:pt idx="667">
                  <c:v>33.615100000000709</c:v>
                </c:pt>
                <c:pt idx="668">
                  <c:v>33.615200000000712</c:v>
                </c:pt>
                <c:pt idx="669">
                  <c:v>33.615300000000715</c:v>
                </c:pt>
                <c:pt idx="670">
                  <c:v>33.615400000000719</c:v>
                </c:pt>
                <c:pt idx="671">
                  <c:v>33.615500000000722</c:v>
                </c:pt>
                <c:pt idx="672">
                  <c:v>33.615600000000725</c:v>
                </c:pt>
                <c:pt idx="673">
                  <c:v>33.615700000000729</c:v>
                </c:pt>
                <c:pt idx="674">
                  <c:v>33.615800000000732</c:v>
                </c:pt>
                <c:pt idx="675">
                  <c:v>33.615900000000735</c:v>
                </c:pt>
                <c:pt idx="676">
                  <c:v>33.616000000000739</c:v>
                </c:pt>
                <c:pt idx="677">
                  <c:v>33.616100000000742</c:v>
                </c:pt>
                <c:pt idx="678">
                  <c:v>33.616200000000745</c:v>
                </c:pt>
                <c:pt idx="679">
                  <c:v>33.616300000000749</c:v>
                </c:pt>
                <c:pt idx="680">
                  <c:v>33.616400000000752</c:v>
                </c:pt>
                <c:pt idx="681">
                  <c:v>33.616500000000755</c:v>
                </c:pt>
                <c:pt idx="682">
                  <c:v>33.616600000000759</c:v>
                </c:pt>
                <c:pt idx="683">
                  <c:v>33.616700000000762</c:v>
                </c:pt>
                <c:pt idx="684">
                  <c:v>33.616800000000765</c:v>
                </c:pt>
                <c:pt idx="685">
                  <c:v>33.616900000000769</c:v>
                </c:pt>
                <c:pt idx="686">
                  <c:v>33.617000000000772</c:v>
                </c:pt>
                <c:pt idx="687">
                  <c:v>33.617100000000775</c:v>
                </c:pt>
                <c:pt idx="688">
                  <c:v>33.617200000000778</c:v>
                </c:pt>
                <c:pt idx="689">
                  <c:v>33.617300000000782</c:v>
                </c:pt>
                <c:pt idx="690">
                  <c:v>33.617400000000785</c:v>
                </c:pt>
                <c:pt idx="691">
                  <c:v>33.617500000000788</c:v>
                </c:pt>
                <c:pt idx="692">
                  <c:v>33.617600000000792</c:v>
                </c:pt>
                <c:pt idx="693">
                  <c:v>33.617700000000795</c:v>
                </c:pt>
                <c:pt idx="694">
                  <c:v>33.617800000000798</c:v>
                </c:pt>
                <c:pt idx="695">
                  <c:v>33.617900000000802</c:v>
                </c:pt>
                <c:pt idx="696">
                  <c:v>33.618000000000805</c:v>
                </c:pt>
                <c:pt idx="697">
                  <c:v>33.618100000000808</c:v>
                </c:pt>
                <c:pt idx="698">
                  <c:v>33.618200000000812</c:v>
                </c:pt>
                <c:pt idx="699">
                  <c:v>33.618300000000815</c:v>
                </c:pt>
                <c:pt idx="700">
                  <c:v>33.618400000000818</c:v>
                </c:pt>
                <c:pt idx="701">
                  <c:v>33.618500000000822</c:v>
                </c:pt>
                <c:pt idx="702">
                  <c:v>33.618600000000825</c:v>
                </c:pt>
                <c:pt idx="703">
                  <c:v>33.618700000000828</c:v>
                </c:pt>
                <c:pt idx="704">
                  <c:v>33.618800000000832</c:v>
                </c:pt>
                <c:pt idx="705">
                  <c:v>33.618900000000835</c:v>
                </c:pt>
                <c:pt idx="706">
                  <c:v>33.619000000000838</c:v>
                </c:pt>
                <c:pt idx="707">
                  <c:v>33.619100000000842</c:v>
                </c:pt>
                <c:pt idx="708">
                  <c:v>33.619200000000845</c:v>
                </c:pt>
                <c:pt idx="709">
                  <c:v>33.619300000000848</c:v>
                </c:pt>
                <c:pt idx="710">
                  <c:v>33.619400000000851</c:v>
                </c:pt>
                <c:pt idx="711">
                  <c:v>33.619500000000855</c:v>
                </c:pt>
                <c:pt idx="712">
                  <c:v>33.619600000000858</c:v>
                </c:pt>
                <c:pt idx="713">
                  <c:v>33.619700000000861</c:v>
                </c:pt>
                <c:pt idx="714">
                  <c:v>33.619800000000865</c:v>
                </c:pt>
                <c:pt idx="715">
                  <c:v>33.619900000000868</c:v>
                </c:pt>
                <c:pt idx="716">
                  <c:v>33.620000000000871</c:v>
                </c:pt>
                <c:pt idx="717">
                  <c:v>33.620100000000875</c:v>
                </c:pt>
                <c:pt idx="718">
                  <c:v>33.620200000000878</c:v>
                </c:pt>
                <c:pt idx="719">
                  <c:v>33.620300000000881</c:v>
                </c:pt>
                <c:pt idx="720">
                  <c:v>33.620400000000885</c:v>
                </c:pt>
                <c:pt idx="721">
                  <c:v>33.620500000000888</c:v>
                </c:pt>
                <c:pt idx="722">
                  <c:v>33.620600000000891</c:v>
                </c:pt>
                <c:pt idx="723">
                  <c:v>33.620700000000895</c:v>
                </c:pt>
                <c:pt idx="724">
                  <c:v>33.620800000000898</c:v>
                </c:pt>
                <c:pt idx="725">
                  <c:v>33.620900000000901</c:v>
                </c:pt>
                <c:pt idx="726">
                  <c:v>33.621000000000905</c:v>
                </c:pt>
                <c:pt idx="727">
                  <c:v>33.621100000000908</c:v>
                </c:pt>
                <c:pt idx="728">
                  <c:v>33.621200000000911</c:v>
                </c:pt>
                <c:pt idx="729">
                  <c:v>33.621300000000915</c:v>
                </c:pt>
                <c:pt idx="730">
                  <c:v>33.621400000000918</c:v>
                </c:pt>
                <c:pt idx="731">
                  <c:v>33.621500000000921</c:v>
                </c:pt>
                <c:pt idx="732">
                  <c:v>33.621600000000925</c:v>
                </c:pt>
                <c:pt idx="733">
                  <c:v>33.621700000000928</c:v>
                </c:pt>
                <c:pt idx="734">
                  <c:v>33.621800000000931</c:v>
                </c:pt>
                <c:pt idx="735">
                  <c:v>33.621900000000934</c:v>
                </c:pt>
                <c:pt idx="736">
                  <c:v>33.622000000000938</c:v>
                </c:pt>
                <c:pt idx="737">
                  <c:v>33.622100000000941</c:v>
                </c:pt>
                <c:pt idx="738">
                  <c:v>33.622200000000944</c:v>
                </c:pt>
                <c:pt idx="739">
                  <c:v>33.622300000000948</c:v>
                </c:pt>
                <c:pt idx="740">
                  <c:v>33.622400000000951</c:v>
                </c:pt>
                <c:pt idx="741">
                  <c:v>33.622500000000954</c:v>
                </c:pt>
                <c:pt idx="742">
                  <c:v>33.622600000000958</c:v>
                </c:pt>
                <c:pt idx="743">
                  <c:v>33.622700000000961</c:v>
                </c:pt>
                <c:pt idx="744">
                  <c:v>33.622800000000964</c:v>
                </c:pt>
                <c:pt idx="745">
                  <c:v>33.622900000000968</c:v>
                </c:pt>
                <c:pt idx="746">
                  <c:v>33.623000000000971</c:v>
                </c:pt>
                <c:pt idx="747">
                  <c:v>33.623100000000974</c:v>
                </c:pt>
                <c:pt idx="748">
                  <c:v>33.623200000000978</c:v>
                </c:pt>
                <c:pt idx="749">
                  <c:v>33.623300000000981</c:v>
                </c:pt>
                <c:pt idx="750">
                  <c:v>33.623400000000984</c:v>
                </c:pt>
                <c:pt idx="751">
                  <c:v>33.623500000000988</c:v>
                </c:pt>
                <c:pt idx="752">
                  <c:v>33.623600000000991</c:v>
                </c:pt>
                <c:pt idx="753">
                  <c:v>33.623700000000994</c:v>
                </c:pt>
                <c:pt idx="754">
                  <c:v>33.623800000000998</c:v>
                </c:pt>
                <c:pt idx="755">
                  <c:v>33.623900000001001</c:v>
                </c:pt>
                <c:pt idx="756">
                  <c:v>33.624000000001004</c:v>
                </c:pt>
                <c:pt idx="757">
                  <c:v>33.624100000001008</c:v>
                </c:pt>
                <c:pt idx="758">
                  <c:v>33.624200000001011</c:v>
                </c:pt>
                <c:pt idx="759">
                  <c:v>33.624300000001014</c:v>
                </c:pt>
                <c:pt idx="760">
                  <c:v>33.624400000001017</c:v>
                </c:pt>
                <c:pt idx="761">
                  <c:v>33.624500000001021</c:v>
                </c:pt>
                <c:pt idx="762">
                  <c:v>33.624600000001024</c:v>
                </c:pt>
                <c:pt idx="763">
                  <c:v>33.624700000001027</c:v>
                </c:pt>
                <c:pt idx="764">
                  <c:v>33.624800000001031</c:v>
                </c:pt>
                <c:pt idx="765">
                  <c:v>33.624900000001034</c:v>
                </c:pt>
                <c:pt idx="766">
                  <c:v>33.625000000001037</c:v>
                </c:pt>
                <c:pt idx="767">
                  <c:v>33.625100000001041</c:v>
                </c:pt>
                <c:pt idx="768">
                  <c:v>33.625200000001044</c:v>
                </c:pt>
                <c:pt idx="769">
                  <c:v>33.625300000001047</c:v>
                </c:pt>
                <c:pt idx="770">
                  <c:v>33.625400000001051</c:v>
                </c:pt>
                <c:pt idx="771">
                  <c:v>33.625500000001054</c:v>
                </c:pt>
                <c:pt idx="772">
                  <c:v>33.625600000001057</c:v>
                </c:pt>
                <c:pt idx="773">
                  <c:v>33.625700000001061</c:v>
                </c:pt>
                <c:pt idx="774">
                  <c:v>33.625800000001064</c:v>
                </c:pt>
                <c:pt idx="775">
                  <c:v>33.625900000001067</c:v>
                </c:pt>
                <c:pt idx="776">
                  <c:v>33.626000000001071</c:v>
                </c:pt>
                <c:pt idx="777">
                  <c:v>33.626100000001074</c:v>
                </c:pt>
                <c:pt idx="778">
                  <c:v>33.626200000001077</c:v>
                </c:pt>
                <c:pt idx="779">
                  <c:v>33.626300000001081</c:v>
                </c:pt>
                <c:pt idx="780">
                  <c:v>33.626400000001084</c:v>
                </c:pt>
                <c:pt idx="781">
                  <c:v>33.626500000001087</c:v>
                </c:pt>
                <c:pt idx="782">
                  <c:v>33.626600000001091</c:v>
                </c:pt>
                <c:pt idx="783">
                  <c:v>33.626700000001094</c:v>
                </c:pt>
                <c:pt idx="784">
                  <c:v>33.626800000001097</c:v>
                </c:pt>
                <c:pt idx="785">
                  <c:v>33.6269000000011</c:v>
                </c:pt>
                <c:pt idx="786">
                  <c:v>33.627000000001104</c:v>
                </c:pt>
                <c:pt idx="787">
                  <c:v>33.627100000001107</c:v>
                </c:pt>
                <c:pt idx="788">
                  <c:v>33.62720000000111</c:v>
                </c:pt>
                <c:pt idx="789">
                  <c:v>33.627300000001114</c:v>
                </c:pt>
                <c:pt idx="790">
                  <c:v>33.627400000001117</c:v>
                </c:pt>
                <c:pt idx="791">
                  <c:v>33.62750000000112</c:v>
                </c:pt>
                <c:pt idx="792">
                  <c:v>33.627600000001124</c:v>
                </c:pt>
                <c:pt idx="793">
                  <c:v>33.627700000001127</c:v>
                </c:pt>
                <c:pt idx="794">
                  <c:v>33.62780000000113</c:v>
                </c:pt>
                <c:pt idx="795">
                  <c:v>33.627900000001134</c:v>
                </c:pt>
                <c:pt idx="796">
                  <c:v>33.628000000001137</c:v>
                </c:pt>
                <c:pt idx="797">
                  <c:v>33.62810000000114</c:v>
                </c:pt>
                <c:pt idx="798">
                  <c:v>33.628200000001144</c:v>
                </c:pt>
                <c:pt idx="799">
                  <c:v>33.628300000001147</c:v>
                </c:pt>
                <c:pt idx="800">
                  <c:v>33.62840000000115</c:v>
                </c:pt>
                <c:pt idx="801">
                  <c:v>33.628500000001154</c:v>
                </c:pt>
                <c:pt idx="802">
                  <c:v>33.628600000001157</c:v>
                </c:pt>
                <c:pt idx="803">
                  <c:v>33.62870000000116</c:v>
                </c:pt>
                <c:pt idx="804">
                  <c:v>33.628800000001164</c:v>
                </c:pt>
                <c:pt idx="805">
                  <c:v>33.628900000001167</c:v>
                </c:pt>
                <c:pt idx="806">
                  <c:v>33.62900000000117</c:v>
                </c:pt>
                <c:pt idx="807">
                  <c:v>33.629100000001173</c:v>
                </c:pt>
                <c:pt idx="808">
                  <c:v>33.629200000001177</c:v>
                </c:pt>
                <c:pt idx="809">
                  <c:v>33.62930000000118</c:v>
                </c:pt>
                <c:pt idx="810">
                  <c:v>33.629400000001183</c:v>
                </c:pt>
                <c:pt idx="811">
                  <c:v>33.629500000001187</c:v>
                </c:pt>
                <c:pt idx="812">
                  <c:v>33.62960000000119</c:v>
                </c:pt>
                <c:pt idx="813">
                  <c:v>33.629700000001193</c:v>
                </c:pt>
                <c:pt idx="814">
                  <c:v>33.629800000001197</c:v>
                </c:pt>
                <c:pt idx="815">
                  <c:v>33.6299000000012</c:v>
                </c:pt>
                <c:pt idx="816">
                  <c:v>33.630000000001203</c:v>
                </c:pt>
                <c:pt idx="817">
                  <c:v>33.630100000001207</c:v>
                </c:pt>
                <c:pt idx="818">
                  <c:v>33.63020000000121</c:v>
                </c:pt>
                <c:pt idx="819">
                  <c:v>33.630300000001213</c:v>
                </c:pt>
                <c:pt idx="820">
                  <c:v>33.630400000001217</c:v>
                </c:pt>
                <c:pt idx="821">
                  <c:v>33.63050000000122</c:v>
                </c:pt>
                <c:pt idx="822">
                  <c:v>33.630600000001223</c:v>
                </c:pt>
                <c:pt idx="823">
                  <c:v>33.630700000001227</c:v>
                </c:pt>
                <c:pt idx="824">
                  <c:v>33.63080000000123</c:v>
                </c:pt>
                <c:pt idx="825">
                  <c:v>33.630900000001233</c:v>
                </c:pt>
                <c:pt idx="826">
                  <c:v>33.631000000001237</c:v>
                </c:pt>
                <c:pt idx="827">
                  <c:v>33.63110000000124</c:v>
                </c:pt>
                <c:pt idx="828">
                  <c:v>33.631200000001243</c:v>
                </c:pt>
                <c:pt idx="829">
                  <c:v>33.631300000001247</c:v>
                </c:pt>
                <c:pt idx="830">
                  <c:v>33.63140000000125</c:v>
                </c:pt>
                <c:pt idx="831">
                  <c:v>33.631500000001253</c:v>
                </c:pt>
                <c:pt idx="832">
                  <c:v>33.631600000001256</c:v>
                </c:pt>
                <c:pt idx="833">
                  <c:v>33.63170000000126</c:v>
                </c:pt>
                <c:pt idx="834">
                  <c:v>33.631800000001263</c:v>
                </c:pt>
                <c:pt idx="835">
                  <c:v>33.631900000001266</c:v>
                </c:pt>
                <c:pt idx="836">
                  <c:v>33.63200000000127</c:v>
                </c:pt>
                <c:pt idx="837">
                  <c:v>33.632100000001273</c:v>
                </c:pt>
                <c:pt idx="838">
                  <c:v>33.632200000001276</c:v>
                </c:pt>
                <c:pt idx="839">
                  <c:v>33.63230000000128</c:v>
                </c:pt>
                <c:pt idx="840">
                  <c:v>33.632400000001283</c:v>
                </c:pt>
                <c:pt idx="841">
                  <c:v>33.632500000001286</c:v>
                </c:pt>
                <c:pt idx="842">
                  <c:v>33.63260000000129</c:v>
                </c:pt>
                <c:pt idx="843">
                  <c:v>33.632700000001293</c:v>
                </c:pt>
                <c:pt idx="844">
                  <c:v>33.632800000001296</c:v>
                </c:pt>
                <c:pt idx="845">
                  <c:v>33.6329000000013</c:v>
                </c:pt>
                <c:pt idx="846">
                  <c:v>33.633000000001303</c:v>
                </c:pt>
                <c:pt idx="847">
                  <c:v>33.633100000001306</c:v>
                </c:pt>
                <c:pt idx="848">
                  <c:v>33.63320000000131</c:v>
                </c:pt>
                <c:pt idx="849">
                  <c:v>33.633300000001313</c:v>
                </c:pt>
                <c:pt idx="850">
                  <c:v>33.633400000001316</c:v>
                </c:pt>
                <c:pt idx="851">
                  <c:v>33.63350000000132</c:v>
                </c:pt>
                <c:pt idx="852">
                  <c:v>33.633600000001323</c:v>
                </c:pt>
                <c:pt idx="853">
                  <c:v>33.633700000001326</c:v>
                </c:pt>
                <c:pt idx="854">
                  <c:v>33.63380000000133</c:v>
                </c:pt>
                <c:pt idx="855">
                  <c:v>33.633900000001333</c:v>
                </c:pt>
                <c:pt idx="856">
                  <c:v>33.634000000001336</c:v>
                </c:pt>
                <c:pt idx="857">
                  <c:v>33.634100000001339</c:v>
                </c:pt>
                <c:pt idx="858">
                  <c:v>33.634200000001343</c:v>
                </c:pt>
                <c:pt idx="859">
                  <c:v>33.634300000001346</c:v>
                </c:pt>
                <c:pt idx="860">
                  <c:v>33.634400000001349</c:v>
                </c:pt>
                <c:pt idx="861">
                  <c:v>33.634500000001353</c:v>
                </c:pt>
                <c:pt idx="862">
                  <c:v>33.634600000001356</c:v>
                </c:pt>
                <c:pt idx="863">
                  <c:v>33.634700000001359</c:v>
                </c:pt>
                <c:pt idx="864">
                  <c:v>33.634800000001363</c:v>
                </c:pt>
                <c:pt idx="865">
                  <c:v>33.634900000001366</c:v>
                </c:pt>
                <c:pt idx="866">
                  <c:v>33.635000000001369</c:v>
                </c:pt>
                <c:pt idx="867">
                  <c:v>33.635100000001373</c:v>
                </c:pt>
                <c:pt idx="868">
                  <c:v>33.635200000001376</c:v>
                </c:pt>
                <c:pt idx="869">
                  <c:v>33.635300000001379</c:v>
                </c:pt>
                <c:pt idx="870">
                  <c:v>33.635400000001383</c:v>
                </c:pt>
                <c:pt idx="871">
                  <c:v>33.635500000001386</c:v>
                </c:pt>
                <c:pt idx="872">
                  <c:v>33.635600000001389</c:v>
                </c:pt>
                <c:pt idx="873">
                  <c:v>33.635700000001393</c:v>
                </c:pt>
                <c:pt idx="874">
                  <c:v>33.635800000001396</c:v>
                </c:pt>
                <c:pt idx="875">
                  <c:v>33.635900000001399</c:v>
                </c:pt>
                <c:pt idx="876">
                  <c:v>33.636000000001403</c:v>
                </c:pt>
                <c:pt idx="877">
                  <c:v>33.636100000001406</c:v>
                </c:pt>
                <c:pt idx="878">
                  <c:v>33.636200000001409</c:v>
                </c:pt>
                <c:pt idx="879">
                  <c:v>33.636300000001413</c:v>
                </c:pt>
                <c:pt idx="880">
                  <c:v>33.636400000001416</c:v>
                </c:pt>
                <c:pt idx="881">
                  <c:v>33.636500000001419</c:v>
                </c:pt>
                <c:pt idx="882">
                  <c:v>33.636600000001422</c:v>
                </c:pt>
                <c:pt idx="883">
                  <c:v>33.636700000001426</c:v>
                </c:pt>
                <c:pt idx="884">
                  <c:v>33.636800000001429</c:v>
                </c:pt>
                <c:pt idx="885">
                  <c:v>33.636900000001432</c:v>
                </c:pt>
                <c:pt idx="886">
                  <c:v>33.637000000001436</c:v>
                </c:pt>
                <c:pt idx="887">
                  <c:v>33.637100000001439</c:v>
                </c:pt>
                <c:pt idx="888">
                  <c:v>33.637200000001442</c:v>
                </c:pt>
                <c:pt idx="889">
                  <c:v>33.637300000001446</c:v>
                </c:pt>
                <c:pt idx="890">
                  <c:v>33.637400000001449</c:v>
                </c:pt>
                <c:pt idx="891">
                  <c:v>33.637500000001452</c:v>
                </c:pt>
                <c:pt idx="892">
                  <c:v>33.637600000001456</c:v>
                </c:pt>
                <c:pt idx="893">
                  <c:v>33.637700000001459</c:v>
                </c:pt>
                <c:pt idx="894">
                  <c:v>33.637800000001462</c:v>
                </c:pt>
                <c:pt idx="895">
                  <c:v>33.637900000001466</c:v>
                </c:pt>
                <c:pt idx="896">
                  <c:v>33.638000000001469</c:v>
                </c:pt>
                <c:pt idx="897">
                  <c:v>33.638100000001472</c:v>
                </c:pt>
                <c:pt idx="898">
                  <c:v>33.638200000001476</c:v>
                </c:pt>
                <c:pt idx="899">
                  <c:v>33.638300000001479</c:v>
                </c:pt>
                <c:pt idx="900">
                  <c:v>33.638400000001482</c:v>
                </c:pt>
                <c:pt idx="901">
                  <c:v>33.638500000001486</c:v>
                </c:pt>
                <c:pt idx="902">
                  <c:v>33.638600000001489</c:v>
                </c:pt>
                <c:pt idx="903">
                  <c:v>33.638700000001492</c:v>
                </c:pt>
                <c:pt idx="904">
                  <c:v>33.638800000001496</c:v>
                </c:pt>
                <c:pt idx="905">
                  <c:v>33.638900000001499</c:v>
                </c:pt>
                <c:pt idx="906">
                  <c:v>33.639000000001502</c:v>
                </c:pt>
                <c:pt idx="907">
                  <c:v>33.639100000001505</c:v>
                </c:pt>
                <c:pt idx="908">
                  <c:v>33.639200000001509</c:v>
                </c:pt>
                <c:pt idx="909">
                  <c:v>33.639300000001512</c:v>
                </c:pt>
                <c:pt idx="910">
                  <c:v>33.639400000001515</c:v>
                </c:pt>
                <c:pt idx="911">
                  <c:v>33.639500000001519</c:v>
                </c:pt>
                <c:pt idx="912">
                  <c:v>33.639600000001522</c:v>
                </c:pt>
                <c:pt idx="913">
                  <c:v>33.639700000001525</c:v>
                </c:pt>
                <c:pt idx="914">
                  <c:v>33.639800000001529</c:v>
                </c:pt>
                <c:pt idx="915">
                  <c:v>33.639900000001532</c:v>
                </c:pt>
                <c:pt idx="916">
                  <c:v>33.640000000001535</c:v>
                </c:pt>
                <c:pt idx="917">
                  <c:v>33.640100000001539</c:v>
                </c:pt>
                <c:pt idx="918">
                  <c:v>33.640200000001542</c:v>
                </c:pt>
                <c:pt idx="919">
                  <c:v>33.640300000001545</c:v>
                </c:pt>
                <c:pt idx="920">
                  <c:v>33.640400000001549</c:v>
                </c:pt>
                <c:pt idx="921">
                  <c:v>33.640500000001552</c:v>
                </c:pt>
                <c:pt idx="922">
                  <c:v>33.640600000001555</c:v>
                </c:pt>
                <c:pt idx="923">
                  <c:v>33.640700000001559</c:v>
                </c:pt>
                <c:pt idx="924">
                  <c:v>33.640800000001562</c:v>
                </c:pt>
                <c:pt idx="925">
                  <c:v>33.640900000001565</c:v>
                </c:pt>
                <c:pt idx="926">
                  <c:v>33.641000000001569</c:v>
                </c:pt>
                <c:pt idx="927">
                  <c:v>33.641100000001572</c:v>
                </c:pt>
                <c:pt idx="928">
                  <c:v>33.641200000001575</c:v>
                </c:pt>
                <c:pt idx="929">
                  <c:v>33.641300000001578</c:v>
                </c:pt>
                <c:pt idx="930">
                  <c:v>33.641400000001582</c:v>
                </c:pt>
                <c:pt idx="931">
                  <c:v>33.641500000001585</c:v>
                </c:pt>
                <c:pt idx="932">
                  <c:v>33.641600000001588</c:v>
                </c:pt>
                <c:pt idx="933">
                  <c:v>33.641700000001592</c:v>
                </c:pt>
                <c:pt idx="934">
                  <c:v>33.641800000001595</c:v>
                </c:pt>
                <c:pt idx="935">
                  <c:v>33.641900000001598</c:v>
                </c:pt>
                <c:pt idx="936">
                  <c:v>33.642000000001602</c:v>
                </c:pt>
                <c:pt idx="937">
                  <c:v>33.642100000001605</c:v>
                </c:pt>
                <c:pt idx="938">
                  <c:v>33.642200000001608</c:v>
                </c:pt>
                <c:pt idx="939">
                  <c:v>33.642300000001612</c:v>
                </c:pt>
                <c:pt idx="940">
                  <c:v>33.642400000001615</c:v>
                </c:pt>
                <c:pt idx="941">
                  <c:v>33.642500000001618</c:v>
                </c:pt>
                <c:pt idx="942">
                  <c:v>33.642600000001622</c:v>
                </c:pt>
                <c:pt idx="943">
                  <c:v>33.642700000001625</c:v>
                </c:pt>
                <c:pt idx="944">
                  <c:v>33.642800000001628</c:v>
                </c:pt>
                <c:pt idx="945">
                  <c:v>33.642900000001632</c:v>
                </c:pt>
                <c:pt idx="946">
                  <c:v>33.643000000001635</c:v>
                </c:pt>
                <c:pt idx="947">
                  <c:v>33.643100000001638</c:v>
                </c:pt>
                <c:pt idx="948">
                  <c:v>33.643200000001642</c:v>
                </c:pt>
                <c:pt idx="949">
                  <c:v>33.643300000001645</c:v>
                </c:pt>
                <c:pt idx="950">
                  <c:v>33.643400000001648</c:v>
                </c:pt>
                <c:pt idx="951">
                  <c:v>33.643500000001652</c:v>
                </c:pt>
                <c:pt idx="952">
                  <c:v>33.643600000001655</c:v>
                </c:pt>
                <c:pt idx="953">
                  <c:v>33.643700000001658</c:v>
                </c:pt>
                <c:pt idx="954">
                  <c:v>33.643800000001661</c:v>
                </c:pt>
                <c:pt idx="955">
                  <c:v>33.643900000001665</c:v>
                </c:pt>
                <c:pt idx="956">
                  <c:v>33.644000000001668</c:v>
                </c:pt>
                <c:pt idx="957">
                  <c:v>33.644100000001671</c:v>
                </c:pt>
                <c:pt idx="958">
                  <c:v>33.644200000001675</c:v>
                </c:pt>
                <c:pt idx="959">
                  <c:v>33.644300000001678</c:v>
                </c:pt>
                <c:pt idx="960">
                  <c:v>33.644400000001681</c:v>
                </c:pt>
                <c:pt idx="961">
                  <c:v>33.644500000001685</c:v>
                </c:pt>
                <c:pt idx="962">
                  <c:v>33.644600000001688</c:v>
                </c:pt>
                <c:pt idx="963">
                  <c:v>33.644700000001691</c:v>
                </c:pt>
                <c:pt idx="964">
                  <c:v>33.644800000001695</c:v>
                </c:pt>
                <c:pt idx="965">
                  <c:v>33.644900000001698</c:v>
                </c:pt>
                <c:pt idx="966">
                  <c:v>33.645000000001701</c:v>
                </c:pt>
                <c:pt idx="967">
                  <c:v>33.645100000001705</c:v>
                </c:pt>
                <c:pt idx="968">
                  <c:v>33.645200000001708</c:v>
                </c:pt>
                <c:pt idx="969">
                  <c:v>33.645300000001711</c:v>
                </c:pt>
                <c:pt idx="970">
                  <c:v>33.645400000001715</c:v>
                </c:pt>
                <c:pt idx="971">
                  <c:v>33.645500000001718</c:v>
                </c:pt>
                <c:pt idx="972">
                  <c:v>33.645600000001721</c:v>
                </c:pt>
                <c:pt idx="973">
                  <c:v>33.645700000001725</c:v>
                </c:pt>
                <c:pt idx="974">
                  <c:v>33.645800000001728</c:v>
                </c:pt>
                <c:pt idx="975">
                  <c:v>33.645900000001731</c:v>
                </c:pt>
                <c:pt idx="976">
                  <c:v>33.646000000001735</c:v>
                </c:pt>
                <c:pt idx="977">
                  <c:v>33.646100000001738</c:v>
                </c:pt>
                <c:pt idx="978">
                  <c:v>33.646200000001741</c:v>
                </c:pt>
                <c:pt idx="979">
                  <c:v>33.646300000001744</c:v>
                </c:pt>
                <c:pt idx="980">
                  <c:v>33.646400000001748</c:v>
                </c:pt>
                <c:pt idx="981">
                  <c:v>33.646500000001751</c:v>
                </c:pt>
                <c:pt idx="982">
                  <c:v>33.646600000001754</c:v>
                </c:pt>
                <c:pt idx="983">
                  <c:v>33.646700000001758</c:v>
                </c:pt>
                <c:pt idx="984">
                  <c:v>33.646800000001761</c:v>
                </c:pt>
                <c:pt idx="985">
                  <c:v>33.646900000001764</c:v>
                </c:pt>
                <c:pt idx="986">
                  <c:v>33.647000000001768</c:v>
                </c:pt>
                <c:pt idx="987">
                  <c:v>33.647100000001771</c:v>
                </c:pt>
                <c:pt idx="988">
                  <c:v>33.647200000001774</c:v>
                </c:pt>
                <c:pt idx="989">
                  <c:v>33.647300000001778</c:v>
                </c:pt>
                <c:pt idx="990">
                  <c:v>33.647400000001781</c:v>
                </c:pt>
                <c:pt idx="991">
                  <c:v>33.647500000001784</c:v>
                </c:pt>
                <c:pt idx="992">
                  <c:v>33.647600000001788</c:v>
                </c:pt>
                <c:pt idx="993">
                  <c:v>33.647700000001791</c:v>
                </c:pt>
                <c:pt idx="994">
                  <c:v>33.647800000001794</c:v>
                </c:pt>
                <c:pt idx="995">
                  <c:v>33.647900000001798</c:v>
                </c:pt>
                <c:pt idx="996">
                  <c:v>33.648000000001801</c:v>
                </c:pt>
                <c:pt idx="997">
                  <c:v>33.648100000001804</c:v>
                </c:pt>
                <c:pt idx="998">
                  <c:v>33.648200000001808</c:v>
                </c:pt>
                <c:pt idx="999">
                  <c:v>33.648300000001811</c:v>
                </c:pt>
                <c:pt idx="1000">
                  <c:v>33.648400000001814</c:v>
                </c:pt>
              </c:numCache>
            </c:numRef>
          </c:xVal>
          <c:yVal>
            <c:numRef>
              <c:f>Calculs!$AH$4:$AH$1004</c:f>
              <c:numCache>
                <c:formatCode>0.00</c:formatCode>
                <c:ptCount val="1001"/>
                <c:pt idx="0">
                  <c:v>0</c:v>
                </c:pt>
                <c:pt idx="1">
                  <c:v>27.476083639130103</c:v>
                </c:pt>
                <c:pt idx="2">
                  <c:v>103.96877246405928</c:v>
                </c:pt>
                <c:pt idx="3">
                  <c:v>150.58390404419464</c:v>
                </c:pt>
                <c:pt idx="4">
                  <c:v>145.71375090286386</c:v>
                </c:pt>
                <c:pt idx="5">
                  <c:v>140.83154544977592</c:v>
                </c:pt>
                <c:pt idx="6">
                  <c:v>138.91782935376963</c:v>
                </c:pt>
                <c:pt idx="7">
                  <c:v>139.98079329365302</c:v>
                </c:pt>
                <c:pt idx="8">
                  <c:v>141.04430505094825</c:v>
                </c:pt>
                <c:pt idx="9">
                  <c:v>142.10834333609154</c:v>
                </c:pt>
                <c:pt idx="10">
                  <c:v>143.17288649705216</c:v>
                </c:pt>
                <c:pt idx="11">
                  <c:v>143.928593849999</c:v>
                </c:pt>
                <c:pt idx="12">
                  <c:v>144.37459546594943</c:v>
                </c:pt>
                <c:pt idx="13">
                  <c:v>144.81978614597725</c:v>
                </c:pt>
                <c:pt idx="14">
                  <c:v>145.2641503407315</c:v>
                </c:pt>
                <c:pt idx="15">
                  <c:v>145.70767245075044</c:v>
                </c:pt>
                <c:pt idx="16">
                  <c:v>146.15033682760128</c:v>
                </c:pt>
                <c:pt idx="17">
                  <c:v>146.59212777503711</c:v>
                </c:pt>
                <c:pt idx="18">
                  <c:v>147.03302955017062</c:v>
                </c:pt>
                <c:pt idx="19">
                  <c:v>147.47302636466503</c:v>
                </c:pt>
                <c:pt idx="20">
                  <c:v>147.91210238594223</c:v>
                </c:pt>
                <c:pt idx="21">
                  <c:v>148.22607107626064</c:v>
                </c:pt>
                <c:pt idx="22">
                  <c:v>148.41458311546916</c:v>
                </c:pt>
                <c:pt idx="23">
                  <c:v>148.60164603009363</c:v>
                </c:pt>
                <c:pt idx="24">
                  <c:v>148.78725042942298</c:v>
                </c:pt>
                <c:pt idx="25">
                  <c:v>148.97138697318576</c:v>
                </c:pt>
                <c:pt idx="26">
                  <c:v>149.15404637262776</c:v>
                </c:pt>
                <c:pt idx="27">
                  <c:v>149.33521939158979</c:v>
                </c:pt>
                <c:pt idx="28">
                  <c:v>149.51489671794991</c:v>
                </c:pt>
                <c:pt idx="29">
                  <c:v>149.69306906748628</c:v>
                </c:pt>
                <c:pt idx="30">
                  <c:v>149.86972734497613</c:v>
                </c:pt>
                <c:pt idx="31">
                  <c:v>150.04486251264478</c:v>
                </c:pt>
                <c:pt idx="32">
                  <c:v>150.21846559119876</c:v>
                </c:pt>
                <c:pt idx="33">
                  <c:v>150.39052766085916</c:v>
                </c:pt>
                <c:pt idx="34">
                  <c:v>150.5610398623964</c:v>
                </c:pt>
                <c:pt idx="35">
                  <c:v>150.72999339816673</c:v>
                </c:pt>
                <c:pt idx="36">
                  <c:v>150.89737953314886</c:v>
                </c:pt>
                <c:pt idx="37">
                  <c:v>151.06318959598084</c:v>
                </c:pt>
                <c:pt idx="38">
                  <c:v>151.22741497999658</c:v>
                </c:pt>
                <c:pt idx="39">
                  <c:v>151.39004714426136</c:v>
                </c:pt>
                <c:pt idx="40">
                  <c:v>151.55107761460636</c:v>
                </c:pt>
                <c:pt idx="41">
                  <c:v>151.6137497826154</c:v>
                </c:pt>
                <c:pt idx="42">
                  <c:v>151.57781403002534</c:v>
                </c:pt>
                <c:pt idx="43">
                  <c:v>151.53991913285165</c:v>
                </c:pt>
                <c:pt idx="44">
                  <c:v>151.50006378334425</c:v>
                </c:pt>
                <c:pt idx="45">
                  <c:v>151.45824679331673</c:v>
                </c:pt>
                <c:pt idx="46">
                  <c:v>151.41446709444827</c:v>
                </c:pt>
                <c:pt idx="47">
                  <c:v>151.3687237385704</c:v>
                </c:pt>
                <c:pt idx="48">
                  <c:v>151.3210158979395</c:v>
                </c:pt>
                <c:pt idx="49">
                  <c:v>151.27134286549466</c:v>
                </c:pt>
                <c:pt idx="50">
                  <c:v>151.21970405510041</c:v>
                </c:pt>
                <c:pt idx="51">
                  <c:v>151.16609900177443</c:v>
                </c:pt>
                <c:pt idx="52">
                  <c:v>151.11052736190021</c:v>
                </c:pt>
                <c:pt idx="53">
                  <c:v>151.05298891342417</c:v>
                </c:pt>
                <c:pt idx="54">
                  <c:v>150.99348355603772</c:v>
                </c:pt>
                <c:pt idx="55">
                  <c:v>150.93201131134353</c:v>
                </c:pt>
                <c:pt idx="56">
                  <c:v>150.86857232300608</c:v>
                </c:pt>
                <c:pt idx="57">
                  <c:v>150.80316685688703</c:v>
                </c:pt>
                <c:pt idx="58">
                  <c:v>150.73579530116433</c:v>
                </c:pt>
                <c:pt idx="59">
                  <c:v>150.6664581664354</c:v>
                </c:pt>
                <c:pt idx="60">
                  <c:v>150.59515608580492</c:v>
                </c:pt>
                <c:pt idx="61">
                  <c:v>150.52188981495607</c:v>
                </c:pt>
                <c:pt idx="62">
                  <c:v>150.446660232206</c:v>
                </c:pt>
                <c:pt idx="63">
                  <c:v>150.36946833854526</c:v>
                </c:pt>
                <c:pt idx="64">
                  <c:v>150.29031525766058</c:v>
                </c:pt>
                <c:pt idx="65">
                  <c:v>150.20920223594231</c:v>
                </c:pt>
                <c:pt idx="66">
                  <c:v>150.12613064247461</c:v>
                </c:pt>
                <c:pt idx="67">
                  <c:v>150.04110196901027</c:v>
                </c:pt>
                <c:pt idx="68">
                  <c:v>149.95411782992852</c:v>
                </c:pt>
                <c:pt idx="69">
                  <c:v>149.86517996217728</c:v>
                </c:pt>
                <c:pt idx="70">
                  <c:v>149.77429022519806</c:v>
                </c:pt>
                <c:pt idx="71">
                  <c:v>149.68145060083543</c:v>
                </c:pt>
                <c:pt idx="72">
                  <c:v>149.58666319322978</c:v>
                </c:pt>
                <c:pt idx="73">
                  <c:v>149.48993022869345</c:v>
                </c:pt>
                <c:pt idx="74">
                  <c:v>149.39125405557087</c:v>
                </c:pt>
                <c:pt idx="75">
                  <c:v>149.29063714408224</c:v>
                </c:pt>
                <c:pt idx="76">
                  <c:v>149.18808208615067</c:v>
                </c:pt>
                <c:pt idx="77">
                  <c:v>149.08359159521316</c:v>
                </c:pt>
                <c:pt idx="78">
                  <c:v>148.97716850601518</c:v>
                </c:pt>
                <c:pt idx="79">
                  <c:v>148.86881577438888</c:v>
                </c:pt>
                <c:pt idx="80">
                  <c:v>148.75853647701527</c:v>
                </c:pt>
                <c:pt idx="81">
                  <c:v>148.5477763552021</c:v>
                </c:pt>
                <c:pt idx="82">
                  <c:v>148.23634760429135</c:v>
                </c:pt>
                <c:pt idx="83">
                  <c:v>147.92277501276331</c:v>
                </c:pt>
                <c:pt idx="84">
                  <c:v>147.6070707818651</c:v>
                </c:pt>
                <c:pt idx="85">
                  <c:v>147.28924724264132</c:v>
                </c:pt>
                <c:pt idx="86">
                  <c:v>146.96931685434993</c:v>
                </c:pt>
                <c:pt idx="87">
                  <c:v>146.64729220286091</c:v>
                </c:pt>
                <c:pt idx="88">
                  <c:v>146.32318599903945</c:v>
                </c:pt>
                <c:pt idx="89">
                  <c:v>145.99701107711252</c:v>
                </c:pt>
                <c:pt idx="90">
                  <c:v>145.66878039302014</c:v>
                </c:pt>
                <c:pt idx="91">
                  <c:v>145.29492368772196</c:v>
                </c:pt>
                <c:pt idx="92">
                  <c:v>144.87537771027633</c:v>
                </c:pt>
                <c:pt idx="93">
                  <c:v>144.45373062301007</c:v>
                </c:pt>
                <c:pt idx="94">
                  <c:v>144.03000002211547</c:v>
                </c:pt>
                <c:pt idx="95">
                  <c:v>143.60420361234219</c:v>
                </c:pt>
                <c:pt idx="96">
                  <c:v>143.17635920460802</c:v>
                </c:pt>
                <c:pt idx="97">
                  <c:v>142.74648471359924</c:v>
                </c:pt>
                <c:pt idx="98">
                  <c:v>142.31459815536215</c:v>
                </c:pt>
                <c:pt idx="99">
                  <c:v>141.88071764488575</c:v>
                </c:pt>
                <c:pt idx="100">
                  <c:v>141.44486139367692</c:v>
                </c:pt>
                <c:pt idx="101">
                  <c:v>141.00007064587439</c:v>
                </c:pt>
                <c:pt idx="102">
                  <c:v>140.54635294111921</c:v>
                </c:pt>
                <c:pt idx="103">
                  <c:v>140.09070367569223</c:v>
                </c:pt>
                <c:pt idx="104">
                  <c:v>139.63314210375421</c:v>
                </c:pt>
                <c:pt idx="105">
                  <c:v>139.17368756205792</c:v>
                </c:pt>
                <c:pt idx="106">
                  <c:v>138.71235946737963</c:v>
                </c:pt>
                <c:pt idx="107">
                  <c:v>138.24917731394774</c:v>
                </c:pt>
                <c:pt idx="108">
                  <c:v>137.78416067086843</c:v>
                </c:pt>
                <c:pt idx="109">
                  <c:v>137.31732917954946</c:v>
                </c:pt>
                <c:pt idx="110">
                  <c:v>136.8487025511225</c:v>
                </c:pt>
                <c:pt idx="111">
                  <c:v>136.45869848817824</c:v>
                </c:pt>
                <c:pt idx="112">
                  <c:v>136.14744635984189</c:v>
                </c:pt>
                <c:pt idx="113">
                  <c:v>135.83455668337155</c:v>
                </c:pt>
                <c:pt idx="114">
                  <c:v>135.52004203069481</c:v>
                </c:pt>
                <c:pt idx="115">
                  <c:v>135.20391505077686</c:v>
                </c:pt>
                <c:pt idx="116">
                  <c:v>134.88618846812039</c:v>
                </c:pt>
                <c:pt idx="117">
                  <c:v>134.5668750812595</c:v>
                </c:pt>
                <c:pt idx="118">
                  <c:v>134.24598776124733</c:v>
                </c:pt>
                <c:pt idx="119">
                  <c:v>133.92353945013832</c:v>
                </c:pt>
                <c:pt idx="120">
                  <c:v>133.5995431594651</c:v>
                </c:pt>
                <c:pt idx="121">
                  <c:v>133.14055361206201</c:v>
                </c:pt>
                <c:pt idx="122">
                  <c:v>132.54642441267782</c:v>
                </c:pt>
                <c:pt idx="123">
                  <c:v>131.95066689790224</c:v>
                </c:pt>
                <c:pt idx="124">
                  <c:v>131.35330689733482</c:v>
                </c:pt>
                <c:pt idx="125">
                  <c:v>130.75437025210002</c:v>
                </c:pt>
                <c:pt idx="126">
                  <c:v>130.15388281148316</c:v>
                </c:pt>
                <c:pt idx="127">
                  <c:v>129.55187042958408</c:v>
                </c:pt>
                <c:pt idx="128">
                  <c:v>128.94835896198876</c:v>
                </c:pt>
                <c:pt idx="129">
                  <c:v>128.34337426245963</c:v>
                </c:pt>
                <c:pt idx="130">
                  <c:v>127.73694217964587</c:v>
                </c:pt>
                <c:pt idx="131">
                  <c:v>127.0941209819143</c:v>
                </c:pt>
                <c:pt idx="132">
                  <c:v>126.41490247266582</c:v>
                </c:pt>
                <c:pt idx="133">
                  <c:v>125.73429693099204</c:v>
                </c:pt>
                <c:pt idx="134">
                  <c:v>125.05233368709918</c:v>
                </c:pt>
                <c:pt idx="135">
                  <c:v>124.36904202736</c:v>
                </c:pt>
                <c:pt idx="136">
                  <c:v>123.68445119063718</c:v>
                </c:pt>
                <c:pt idx="137">
                  <c:v>122.99859036464032</c:v>
                </c:pt>
                <c:pt idx="138">
                  <c:v>122.31148868231631</c:v>
                </c:pt>
                <c:pt idx="139">
                  <c:v>121.62317521827379</c:v>
                </c:pt>
                <c:pt idx="140">
                  <c:v>120.93367898524311</c:v>
                </c:pt>
                <c:pt idx="141">
                  <c:v>119.82461178712251</c:v>
                </c:pt>
                <c:pt idx="142">
                  <c:v>118.29569791337106</c:v>
                </c:pt>
                <c:pt idx="143">
                  <c:v>116.76567121518462</c:v>
                </c:pt>
                <c:pt idx="144">
                  <c:v>115.23461214698384</c:v>
                </c:pt>
                <c:pt idx="145">
                  <c:v>113.70260055784105</c:v>
                </c:pt>
                <c:pt idx="146">
                  <c:v>112.16971567978017</c:v>
                </c:pt>
                <c:pt idx="147">
                  <c:v>110.63603611637036</c:v>
                </c:pt>
                <c:pt idx="148">
                  <c:v>109.101639831615</c:v>
                </c:pt>
                <c:pt idx="149">
                  <c:v>107.56660413913548</c:v>
                </c:pt>
                <c:pt idx="150">
                  <c:v>106.03100569165154</c:v>
                </c:pt>
                <c:pt idx="151">
                  <c:v>104.49492047075789</c:v>
                </c:pt>
                <c:pt idx="152">
                  <c:v>102.95842377699738</c:v>
                </c:pt>
                <c:pt idx="153">
                  <c:v>101.42159022023098</c:v>
                </c:pt>
                <c:pt idx="154">
                  <c:v>99.884493710304724</c:v>
                </c:pt>
                <c:pt idx="155">
                  <c:v>98.347207448012625</c:v>
                </c:pt>
                <c:pt idx="156">
                  <c:v>94.826251665282825</c:v>
                </c:pt>
                <c:pt idx="157">
                  <c:v>89.321589564608587</c:v>
                </c:pt>
                <c:pt idx="158">
                  <c:v>83.819227133829784</c:v>
                </c:pt>
                <c:pt idx="159">
                  <c:v>78.31972494783588</c:v>
                </c:pt>
                <c:pt idx="160">
                  <c:v>72.823633818386313</c:v>
                </c:pt>
                <c:pt idx="161">
                  <c:v>64.809103858695053</c:v>
                </c:pt>
                <c:pt idx="162">
                  <c:v>54.278457816033203</c:v>
                </c:pt>
                <c:pt idx="163">
                  <c:v>43.999563124001988</c:v>
                </c:pt>
                <c:pt idx="164">
                  <c:v>33.973858330270737</c:v>
                </c:pt>
                <c:pt idx="165">
                  <c:v>26.371833940127864</c:v>
                </c:pt>
                <c:pt idx="166">
                  <c:v>21.191366535893831</c:v>
                </c:pt>
                <c:pt idx="167">
                  <c:v>14.186813339847729</c:v>
                </c:pt>
                <c:pt idx="168">
                  <c:v>6.6872422127214399</c:v>
                </c:pt>
                <c:pt idx="169">
                  <c:v>-4.5828470219602657</c:v>
                </c:pt>
                <c:pt idx="170">
                  <c:v>-16.963295601749</c:v>
                </c:pt>
                <c:pt idx="171">
                  <c:v>-21.122852183100058</c:v>
                </c:pt>
                <c:pt idx="172">
                  <c:v>-21.055613653798293</c:v>
                </c:pt>
                <c:pt idx="173">
                  <c:v>-20.988639610366246</c:v>
                </c:pt>
                <c:pt idx="174">
                  <c:v>-20.921928673827804</c:v>
                </c:pt>
                <c:pt idx="175">
                  <c:v>-20.855479474278191</c:v>
                </c:pt>
                <c:pt idx="176">
                  <c:v>-20.789290650812205</c:v>
                </c:pt>
                <c:pt idx="177">
                  <c:v>-20.723360851453045</c:v>
                </c:pt>
                <c:pt idx="178">
                  <c:v>-20.657688733081898</c:v>
                </c:pt>
                <c:pt idx="179">
                  <c:v>-20.592272961368124</c:v>
                </c:pt>
                <c:pt idx="180">
                  <c:v>-20.527112210700093</c:v>
                </c:pt>
                <c:pt idx="181">
                  <c:v>-20.462205164116636</c:v>
                </c:pt>
                <c:pt idx="182">
                  <c:v>-20.397550513239182</c:v>
                </c:pt>
                <c:pt idx="183">
                  <c:v>-20.333146958204434</c:v>
                </c:pt>
                <c:pt idx="184">
                  <c:v>-20.26899320759777</c:v>
                </c:pt>
                <c:pt idx="185">
                  <c:v>-20.205087978387137</c:v>
                </c:pt>
                <c:pt idx="186">
                  <c:v>-20.141429995857656</c:v>
                </c:pt>
                <c:pt idx="187">
                  <c:v>-20.078017993546723</c:v>
                </c:pt>
                <c:pt idx="188">
                  <c:v>-20.014850713179801</c:v>
                </c:pt>
                <c:pt idx="189">
                  <c:v>-19.951926904606694</c:v>
                </c:pt>
                <c:pt idx="190">
                  <c:v>-19.889245325738521</c:v>
                </c:pt>
                <c:pt idx="191">
                  <c:v>-19.82680474248513</c:v>
                </c:pt>
                <c:pt idx="192">
                  <c:v>-19.764603928693184</c:v>
                </c:pt>
                <c:pt idx="193">
                  <c:v>-19.702641666084752</c:v>
                </c:pt>
                <c:pt idx="194">
                  <c:v>-19.640916744196463</c:v>
                </c:pt>
                <c:pt idx="195">
                  <c:v>-19.579427960319276</c:v>
                </c:pt>
                <c:pt idx="196">
                  <c:v>-19.51817411943863</c:v>
                </c:pt>
                <c:pt idx="197">
                  <c:v>-19.457154034175332</c:v>
                </c:pt>
                <c:pt idx="198">
                  <c:v>-19.396366524726844</c:v>
                </c:pt>
                <c:pt idx="199">
                  <c:v>-19.335810418809146</c:v>
                </c:pt>
                <c:pt idx="200">
                  <c:v>-19.275484551599096</c:v>
                </c:pt>
                <c:pt idx="201">
                  <c:v>-19.215387765677306</c:v>
                </c:pt>
                <c:pt idx="202">
                  <c:v>-18.621655634666638</c:v>
                </c:pt>
                <c:pt idx="203">
                  <c:v>-18.050065464704499</c:v>
                </c:pt>
                <c:pt idx="204">
                  <c:v>-17.499536169051705</c:v>
                </c:pt>
                <c:pt idx="205">
                  <c:v>-16.96905271322678</c:v>
                </c:pt>
                <c:pt idx="206">
                  <c:v>-16.457661308435195</c:v>
                </c:pt>
                <c:pt idx="207">
                  <c:v>-15.964465009952963</c:v>
                </c:pt>
                <c:pt idx="208">
                  <c:v>-15.48861968181547</c:v>
                </c:pt>
                <c:pt idx="209">
                  <c:v>-15.029330293273912</c:v>
                </c:pt>
                <c:pt idx="210">
                  <c:v>-14.585847516111849</c:v>
                </c:pt>
                <c:pt idx="211">
                  <c:v>-14.157464595124678</c:v>
                </c:pt>
                <c:pt idx="212">
                  <c:v>-13.743514466907833</c:v>
                </c:pt>
                <c:pt idx="213">
                  <c:v>-13.343367104621601</c:v>
                </c:pt>
                <c:pt idx="214">
                  <c:v>-12.956427068640471</c:v>
                </c:pt>
                <c:pt idx="215">
                  <c:v>-12.582131244987627</c:v>
                </c:pt>
                <c:pt idx="216">
                  <c:v>-12.2199467552303</c:v>
                </c:pt>
                <c:pt idx="217">
                  <c:v>-11.86936902309516</c:v>
                </c:pt>
                <c:pt idx="218">
                  <c:v>-11.529919984476695</c:v>
                </c:pt>
                <c:pt idx="219">
                  <c:v>-11.201146428776731</c:v>
                </c:pt>
                <c:pt idx="220">
                  <c:v>-10.882618460645276</c:v>
                </c:pt>
                <c:pt idx="221">
                  <c:v>-10.573928072208558</c:v>
                </c:pt>
                <c:pt idx="222">
                  <c:v>-10.274687816781231</c:v>
                </c:pt>
                <c:pt idx="223">
                  <c:v>-9.9845295758788666</c:v>
                </c:pt>
                <c:pt idx="224">
                  <c:v>-9.7031034120838626</c:v>
                </c:pt>
                <c:pt idx="225">
                  <c:v>-9.430076500981535</c:v>
                </c:pt>
                <c:pt idx="226">
                  <c:v>-9.1651321359817697</c:v>
                </c:pt>
                <c:pt idx="227">
                  <c:v>-8.9079688003819371</c:v>
                </c:pt>
                <c:pt idx="228">
                  <c:v>-8.6582993015150276</c:v>
                </c:pt>
                <c:pt idx="229">
                  <c:v>-8.4158499622686822</c:v>
                </c:pt>
                <c:pt idx="230">
                  <c:v>-8.1803598656607655</c:v>
                </c:pt>
                <c:pt idx="231">
                  <c:v>-7.9515801485195983</c:v>
                </c:pt>
                <c:pt idx="232">
                  <c:v>-7.7292733406459977</c:v>
                </c:pt>
                <c:pt idx="233">
                  <c:v>-7.5132127461330471</c:v>
                </c:pt>
                <c:pt idx="234">
                  <c:v>-7.3031818637908934</c:v>
                </c:pt>
                <c:pt idx="235">
                  <c:v>-7.0989738438711534</c:v>
                </c:pt>
                <c:pt idx="236">
                  <c:v>-6.9003909785104707</c:v>
                </c:pt>
                <c:pt idx="237">
                  <c:v>-6.7072442235178853</c:v>
                </c:pt>
                <c:pt idx="238">
                  <c:v>-6.5193527493176742</c:v>
                </c:pt>
                <c:pt idx="239">
                  <c:v>-6.3365435190304202</c:v>
                </c:pt>
                <c:pt idx="240">
                  <c:v>-6.1586508918309848</c:v>
                </c:pt>
                <c:pt idx="241">
                  <c:v>-5.9855162498649213</c:v>
                </c:pt>
                <c:pt idx="242">
                  <c:v>-5.8169876471356163</c:v>
                </c:pt>
                <c:pt idx="243">
                  <c:v>-5.6529194788941455</c:v>
                </c:pt>
                <c:pt idx="244">
                  <c:v>-5.4931721701735317</c:v>
                </c:pt>
                <c:pt idx="245">
                  <c:v>-5.3376118822099459</c:v>
                </c:pt>
                <c:pt idx="246">
                  <c:v>-5.1861102355856881</c:v>
                </c:pt>
                <c:pt idx="247">
                  <c:v>-5.0385440490138764</c:v>
                </c:pt>
                <c:pt idx="248">
                  <c:v>-4.8947950927628199</c:v>
                </c:pt>
                <c:pt idx="249">
                  <c:v>-4.7547498557899166</c:v>
                </c:pt>
                <c:pt idx="250">
                  <c:v>-4.6182993257211979</c:v>
                </c:pt>
                <c:pt idx="251">
                  <c:v>-4.4853387808734961</c:v>
                </c:pt>
                <c:pt idx="252">
                  <c:v>-4.3557675935725566</c:v>
                </c:pt>
                <c:pt idx="253">
                  <c:v>-4.2294890440722543</c:v>
                </c:pt>
                <c:pt idx="254">
                  <c:v>-4.1064101444279411</c:v>
                </c:pt>
                <c:pt idx="255">
                  <c:v>-3.9864414717212853</c:v>
                </c:pt>
                <c:pt idx="256">
                  <c:v>-3.8694970100748138</c:v>
                </c:pt>
                <c:pt idx="257">
                  <c:v>-3.7554940009322335</c:v>
                </c:pt>
                <c:pt idx="258">
                  <c:v>-3.6443528011156316</c:v>
                </c:pt>
                <c:pt idx="259">
                  <c:v>-3.5359967482031278</c:v>
                </c:pt>
                <c:pt idx="260">
                  <c:v>-3.4303520328005255</c:v>
                </c:pt>
                <c:pt idx="261">
                  <c:v>-3.3273475773085335</c:v>
                </c:pt>
                <c:pt idx="262">
                  <c:v>-3.2269149208128125</c:v>
                </c:pt>
                <c:pt idx="263">
                  <c:v>-3.1289881097482759</c:v>
                </c:pt>
                <c:pt idx="264">
                  <c:v>-3.0335035940112323</c:v>
                </c:pt>
                <c:pt idx="265">
                  <c:v>-2.9404001282138013</c:v>
                </c:pt>
                <c:pt idx="266">
                  <c:v>-2.8496186777941785</c:v>
                </c:pt>
                <c:pt idx="267">
                  <c:v>-2.7611023297143613</c:v>
                </c:pt>
                <c:pt idx="268">
                  <c:v>-2.6747962074935394</c:v>
                </c:pt>
                <c:pt idx="269">
                  <c:v>-2.5906473903409473</c:v>
                </c:pt>
                <c:pt idx="270">
                  <c:v>-2.5086048361663988</c:v>
                </c:pt>
                <c:pt idx="271">
                  <c:v>-2.4286193082602607</c:v>
                </c:pt>
                <c:pt idx="272">
                  <c:v>-2.3506433054471527</c:v>
                </c:pt>
                <c:pt idx="273">
                  <c:v>-2.2746309955294377</c:v>
                </c:pt>
                <c:pt idx="274">
                  <c:v>-2.2005381518474683</c:v>
                </c:pt>
                <c:pt idx="275">
                  <c:v>-2.1283220927938276</c:v>
                </c:pt>
                <c:pt idx="276">
                  <c:v>-2.0579416241283259</c:v>
                </c:pt>
                <c:pt idx="277">
                  <c:v>-1.9893569839494276</c:v>
                </c:pt>
                <c:pt idx="278">
                  <c:v>-1.9225297901861338</c:v>
                </c:pt>
                <c:pt idx="279">
                  <c:v>-1.8574229904821524</c:v>
                </c:pt>
                <c:pt idx="280">
                  <c:v>-1.7940008143514254</c:v>
                </c:pt>
                <c:pt idx="281">
                  <c:v>-1.7322287274909831</c:v>
                </c:pt>
                <c:pt idx="282">
                  <c:v>-1.6720733881433569</c:v>
                </c:pt>
                <c:pt idx="283">
                  <c:v>-1.6135026054068546</c:v>
                </c:pt>
                <c:pt idx="284">
                  <c:v>-1.5564852993974958</c:v>
                </c:pt>
                <c:pt idx="285">
                  <c:v>-1.5009914631716657</c:v>
                </c:pt>
                <c:pt idx="286">
                  <c:v>-1.4469921263233887</c:v>
                </c:pt>
                <c:pt idx="287">
                  <c:v>-1.3944593201747053</c:v>
                </c:pt>
                <c:pt idx="288">
                  <c:v>-1.3433660444818589</c:v>
                </c:pt>
                <c:pt idx="289">
                  <c:v>-1.293686235583984</c:v>
                </c:pt>
                <c:pt idx="290">
                  <c:v>-1.2453947359246886</c:v>
                </c:pt>
                <c:pt idx="291">
                  <c:v>-1.1984672648803292</c:v>
                </c:pt>
                <c:pt idx="292">
                  <c:v>-1.1528803908320229</c:v>
                </c:pt>
                <c:pt idx="293">
                  <c:v>-1.1086115044213494</c:v>
                </c:pt>
                <c:pt idx="294">
                  <c:v>-1.0656387929324562</c:v>
                </c:pt>
                <c:pt idx="295">
                  <c:v>-1.0239412157457877</c:v>
                </c:pt>
                <c:pt idx="296">
                  <c:v>-0.98349848081094315</c:v>
                </c:pt>
                <c:pt idx="297">
                  <c:v>-0.94429102208827598</c:v>
                </c:pt>
                <c:pt idx="298">
                  <c:v>-0.90629997791070671</c:v>
                </c:pt>
                <c:pt idx="299">
                  <c:v>-0.86950717021891555</c:v>
                </c:pt>
                <c:pt idx="300">
                  <c:v>-0.83389508462453332</c:v>
                </c:pt>
                <c:pt idx="301">
                  <c:v>-0.7994468512572106</c:v>
                </c:pt>
                <c:pt idx="302">
                  <c:v>-0.76614622635250118</c:v>
                </c:pt>
                <c:pt idx="303">
                  <c:v>-0.73397757453831425</c:v>
                </c:pt>
                <c:pt idx="304">
                  <c:v>-0.70292585177830169</c:v>
                </c:pt>
                <c:pt idx="305">
                  <c:v>-0.67297658893092194</c:v>
                </c:pt>
                <c:pt idx="306">
                  <c:v>-0.64411587588305441</c:v>
                </c:pt>
                <c:pt idx="307">
                  <c:v>-0.61633034621692706</c:v>
                </c:pt>
                <c:pt idx="308">
                  <c:v>-0.58960716236874344</c:v>
                </c:pt>
                <c:pt idx="309">
                  <c:v>-0.56393400123675574</c:v>
                </c:pt>
                <c:pt idx="310">
                  <c:v>-0.53929904019560582</c:v>
                </c:pt>
                <c:pt idx="311">
                  <c:v>-0.51569094347256184</c:v>
                </c:pt>
                <c:pt idx="312">
                  <c:v>-0.49309884883978633</c:v>
                </c:pt>
                <c:pt idx="313">
                  <c:v>-0.47151235457501295</c:v>
                </c:pt>
                <c:pt idx="314">
                  <c:v>-0.45092150664098357</c:v>
                </c:pt>
                <c:pt idx="315">
                  <c:v>-0.43131678603173496</c:v>
                </c:pt>
                <c:pt idx="316">
                  <c:v>-0.41268909623137884</c:v>
                </c:pt>
                <c:pt idx="317">
                  <c:v>-0.39502975072844443</c:v>
                </c:pt>
                <c:pt idx="318">
                  <c:v>-0.37833046052625147</c:v>
                </c:pt>
                <c:pt idx="319">
                  <c:v>-0.36258332158728579</c:v>
                </c:pt>
                <c:pt idx="320">
                  <c:v>-0.34778080214731677</c:v>
                </c:pt>
                <c:pt idx="321">
                  <c:v>-0.33391572983323931</c:v>
                </c:pt>
                <c:pt idx="322">
                  <c:v>-0.32098127851761649</c:v>
                </c:pt>
                <c:pt idx="323">
                  <c:v>-0.30897095484292647</c:v>
                </c:pt>
                <c:pt idx="324">
                  <c:v>-0.29787858434994557</c:v>
                </c:pt>
                <c:pt idx="325">
                  <c:v>-0.28769829714789863</c:v>
                </c:pt>
                <c:pt idx="326">
                  <c:v>-0.27842451306937416</c:v>
                </c:pt>
                <c:pt idx="327">
                  <c:v>-0.27005192626089286</c:v>
                </c:pt>
                <c:pt idx="328">
                  <c:v>-0.26257548917074625</c:v>
                </c:pt>
                <c:pt idx="329">
                  <c:v>-0.25599039590946965</c:v>
                </c:pt>
                <c:pt idx="330">
                  <c:v>-0.25029206497510653</c:v>
                </c:pt>
                <c:pt idx="331">
                  <c:v>-0.24547612135502656</c:v>
                </c:pt>
                <c:pt idx="332">
                  <c:v>-0.24153837803802738</c:v>
                </c:pt>
                <c:pt idx="333">
                  <c:v>-0.2384748169939673</c:v>
                </c:pt>
                <c:pt idx="334">
                  <c:v>-0.23628156970220518</c:v>
                </c:pt>
                <c:pt idx="335">
                  <c:v>-0.23495489733336639</c:v>
                </c:pt>
                <c:pt idx="336">
                  <c:v>-0.23449117070998127</c:v>
                </c:pt>
                <c:pt idx="337">
                  <c:v>-0.23488685018894523</c:v>
                </c:pt>
                <c:pt idx="338">
                  <c:v>-0.23613846562125168</c:v>
                </c:pt>
                <c:pt idx="339">
                  <c:v>-0.23824259655110716</c:v>
                </c:pt>
                <c:pt idx="340">
                  <c:v>-0.24119585281682976</c:v>
                </c:pt>
                <c:pt idx="341">
                  <c:v>-0.24499485570982979</c:v>
                </c:pt>
                <c:pt idx="342">
                  <c:v>-0.24963621983599221</c:v>
                </c:pt>
                <c:pt idx="343">
                  <c:v>-0.25511653580681876</c:v>
                </c:pt>
                <c:pt idx="344">
                  <c:v>-0.26143235386703473</c:v>
                </c:pt>
                <c:pt idx="345">
                  <c:v>-0.26858016854242539</c:v>
                </c:pt>
                <c:pt idx="346">
                  <c:v>-0.27655640436788181</c:v>
                </c:pt>
                <c:pt idx="347">
                  <c:v>-0.28535740273233878</c:v>
                </c:pt>
                <c:pt idx="348">
                  <c:v>-0.29497940985553533</c:v>
                </c:pt>
                <c:pt idx="349">
                  <c:v>-0.30541856589216748</c:v>
                </c:pt>
                <c:pt idx="350">
                  <c:v>-0.31667089514249697</c:v>
                </c:pt>
                <c:pt idx="351">
                  <c:v>-0.3287322973350863</c:v>
                </c:pt>
                <c:pt idx="352">
                  <c:v>-0.34159853993703021</c:v>
                </c:pt>
                <c:pt idx="353">
                  <c:v>-0.35526525143965854</c:v>
                </c:pt>
                <c:pt idx="354">
                  <c:v>-0.36972791556289336</c:v>
                </c:pt>
                <c:pt idx="355">
                  <c:v>-0.38498186631888337</c:v>
                </c:pt>
                <c:pt idx="356">
                  <c:v>-0.40102228387480632</c:v>
                </c:pt>
                <c:pt idx="357">
                  <c:v>-0.41784419115545074</c:v>
                </c:pt>
                <c:pt idx="358">
                  <c:v>-0.43544245112798935</c:v>
                </c:pt>
                <c:pt idx="359">
                  <c:v>-0.4538117647139438</c:v>
                </c:pt>
                <c:pt idx="360">
                  <c:v>-0.47294666927643086</c:v>
                </c:pt>
                <c:pt idx="361">
                  <c:v>-0.49284153763418259</c:v>
                </c:pt>
                <c:pt idx="362">
                  <c:v>-0.51349057755734884</c:v>
                </c:pt>
                <c:pt idx="363">
                  <c:v>-0.53488783170362597</c:v>
                </c:pt>
                <c:pt idx="364">
                  <c:v>-0.55702717795668921</c:v>
                </c:pt>
                <c:pt idx="365">
                  <c:v>-0.57990233013218762</c:v>
                </c:pt>
                <c:pt idx="366">
                  <c:v>-0.6035068390196543</c:v>
                </c:pt>
                <c:pt idx="367">
                  <c:v>-0.62783409373153709</c:v>
                </c:pt>
                <c:pt idx="368">
                  <c:v>-0.65287732333320925</c:v>
                </c:pt>
                <c:pt idx="369">
                  <c:v>-0.67862959873020046</c:v>
                </c:pt>
                <c:pt idx="370">
                  <c:v>-0.70508383479109027</c:v>
                </c:pt>
                <c:pt idx="371">
                  <c:v>-0.73223279268645514</c:v>
                </c:pt>
                <c:pt idx="372">
                  <c:v>-0.76006908242602356</c:v>
                </c:pt>
                <c:pt idx="373">
                  <c:v>-0.7885851655777818</c:v>
                </c:pt>
                <c:pt idx="374">
                  <c:v>-0.81777335815416707</c:v>
                </c:pt>
                <c:pt idx="375">
                  <c:v>-0.84762583365174637</c:v>
                </c:pt>
                <c:pt idx="376">
                  <c:v>-0.87813462623188887</c:v>
                </c:pt>
                <c:pt idx="377">
                  <c:v>-0.90929163403093072</c:v>
                </c:pt>
                <c:pt idx="378">
                  <c:v>-0.94108862258920867</c:v>
                </c:pt>
                <c:pt idx="379">
                  <c:v>-0.97351722838911703</c:v>
                </c:pt>
                <c:pt idx="380">
                  <c:v>-1.0065689624930401</c:v>
                </c:pt>
                <c:pt idx="381">
                  <c:v>-1.0402352142726137</c:v>
                </c:pt>
                <c:pt idx="382">
                  <c:v>-1.0745072552213335</c:v>
                </c:pt>
                <c:pt idx="383">
                  <c:v>-1.1093762428430025</c:v>
                </c:pt>
                <c:pt idx="384">
                  <c:v>-1.1448332246089448</c:v>
                </c:pt>
                <c:pt idx="385">
                  <c:v>-1.1808691419773094</c:v>
                </c:pt>
                <c:pt idx="386">
                  <c:v>-1.2174748344681288</c:v>
                </c:pt>
                <c:pt idx="387">
                  <c:v>-1.2546410437881059</c:v>
                </c:pt>
                <c:pt idx="388">
                  <c:v>-1.2923584179994099</c:v>
                </c:pt>
                <c:pt idx="389">
                  <c:v>-1.3306175157269737</c:v>
                </c:pt>
                <c:pt idx="390">
                  <c:v>-1.3694088103990651</c:v>
                </c:pt>
                <c:pt idx="391">
                  <c:v>-1.4087226945160884</c:v>
                </c:pt>
                <c:pt idx="392">
                  <c:v>-1.4485494839427724</c:v>
                </c:pt>
                <c:pt idx="393">
                  <c:v>-1.488879422219084</c:v>
                </c:pt>
                <c:pt idx="394">
                  <c:v>-1.529702684885379</c:v>
                </c:pt>
                <c:pt idx="395">
                  <c:v>-1.5710093838174468</c:v>
                </c:pt>
                <c:pt idx="396">
                  <c:v>-1.6127895715672564</c:v>
                </c:pt>
                <c:pt idx="397">
                  <c:v>-1.655033245705346</c:v>
                </c:pt>
                <c:pt idx="398">
                  <c:v>-1.6977303531609438</c:v>
                </c:pt>
                <c:pt idx="399">
                  <c:v>-1.7408707945559994</c:v>
                </c:pt>
                <c:pt idx="400">
                  <c:v>-1.7844444285294676</c:v>
                </c:pt>
                <c:pt idx="401">
                  <c:v>-1.8284410760482543</c:v>
                </c:pt>
                <c:pt idx="402">
                  <c:v>-1.8728505247013896</c:v>
                </c:pt>
                <c:pt idx="403">
                  <c:v>-1.917662532974072</c:v>
                </c:pt>
                <c:pt idx="404">
                  <c:v>-1.9628668344983264</c:v>
                </c:pt>
                <c:pt idx="405">
                  <c:v>-2.0084531422771619</c:v>
                </c:pt>
                <c:pt idx="406">
                  <c:v>-2.0544111528791644</c:v>
                </c:pt>
                <c:pt idx="407">
                  <c:v>-2.10073055060061</c:v>
                </c:pt>
                <c:pt idx="408">
                  <c:v>-2.1474010115922102</c:v>
                </c:pt>
                <c:pt idx="409">
                  <c:v>-2.1944122079478059</c:v>
                </c:pt>
                <c:pt idx="410">
                  <c:v>-2.2417538117522984</c:v>
                </c:pt>
                <c:pt idx="411">
                  <c:v>-2.2894154990863069</c:v>
                </c:pt>
                <c:pt idx="412">
                  <c:v>-2.3373869539850487</c:v>
                </c:pt>
                <c:pt idx="413">
                  <c:v>-2.3856578723491211</c:v>
                </c:pt>
                <c:pt idx="414">
                  <c:v>-2.4342179658048688</c:v>
                </c:pt>
                <c:pt idx="415">
                  <c:v>-2.4830569655121626</c:v>
                </c:pt>
                <c:pt idx="416">
                  <c:v>-2.5321646259175283</c:v>
                </c:pt>
                <c:pt idx="417">
                  <c:v>-2.5815307284505833</c:v>
                </c:pt>
                <c:pt idx="418">
                  <c:v>-2.6311450851618905</c:v>
                </c:pt>
                <c:pt idx="419">
                  <c:v>-2.6809975423004246</c:v>
                </c:pt>
                <c:pt idx="420">
                  <c:v>-2.7310779838289174</c:v>
                </c:pt>
                <c:pt idx="421">
                  <c:v>-2.781376334875413</c:v>
                </c:pt>
                <c:pt idx="422">
                  <c:v>-2.8318825651195421</c:v>
                </c:pt>
                <c:pt idx="423">
                  <c:v>-2.8825866921120054</c:v>
                </c:pt>
                <c:pt idx="424">
                  <c:v>-2.9334787845259229</c:v>
                </c:pt>
                <c:pt idx="425">
                  <c:v>-2.9845489653387536</c:v>
                </c:pt>
                <c:pt idx="426">
                  <c:v>-3.0357874149435919</c:v>
                </c:pt>
                <c:pt idx="427">
                  <c:v>-3.0871843741887277</c:v>
                </c:pt>
                <c:pt idx="428">
                  <c:v>-3.1387301473444578</c:v>
                </c:pt>
                <c:pt idx="429">
                  <c:v>-3.1904151049961706</c:v>
                </c:pt>
                <c:pt idx="430">
                  <c:v>-3.2422296868628928</c:v>
                </c:pt>
                <c:pt idx="431">
                  <c:v>-3.2941644045404952</c:v>
                </c:pt>
                <c:pt idx="432">
                  <c:v>-3.3462098441688535</c:v>
                </c:pt>
                <c:pt idx="433">
                  <c:v>-3.3983566690223852</c:v>
                </c:pt>
                <c:pt idx="434">
                  <c:v>-3.4505956220233944</c:v>
                </c:pt>
                <c:pt idx="435">
                  <c:v>-3.5029175281777789</c:v>
                </c:pt>
                <c:pt idx="436">
                  <c:v>-3.5553132969327277</c:v>
                </c:pt>
                <c:pt idx="437">
                  <c:v>-3.6077739244560947</c:v>
                </c:pt>
                <c:pt idx="438">
                  <c:v>-3.660290495837216</c:v>
                </c:pt>
                <c:pt idx="439">
                  <c:v>-3.7128541872090146</c:v>
                </c:pt>
                <c:pt idx="440">
                  <c:v>-3.7654562677913144</c:v>
                </c:pt>
                <c:pt idx="441">
                  <c:v>-3.8180881018553339</c:v>
                </c:pt>
                <c:pt idx="442">
                  <c:v>-3.8707411506094105</c:v>
                </c:pt>
                <c:pt idx="443">
                  <c:v>-3.923406974006078</c:v>
                </c:pt>
                <c:pt idx="444">
                  <c:v>-3.9760772324706712</c:v>
                </c:pt>
                <c:pt idx="445">
                  <c:v>-4.0287436885517209</c:v>
                </c:pt>
                <c:pt idx="446">
                  <c:v>-4.0813982084934208</c:v>
                </c:pt>
                <c:pt idx="447">
                  <c:v>-4.1340327637305361</c:v>
                </c:pt>
                <c:pt idx="448">
                  <c:v>-4.1866394323062028</c:v>
                </c:pt>
                <c:pt idx="449">
                  <c:v>-4.2392104002130626</c:v>
                </c:pt>
                <c:pt idx="450">
                  <c:v>-4.2917379626582912</c:v>
                </c:pt>
                <c:pt idx="451">
                  <c:v>-4.344214525253097</c:v>
                </c:pt>
                <c:pt idx="452">
                  <c:v>-4.3966326051273503</c:v>
                </c:pt>
                <c:pt idx="453">
                  <c:v>-4.4489848319699536</c:v>
                </c:pt>
                <c:pt idx="454">
                  <c:v>-4.5012639489958204</c:v>
                </c:pt>
                <c:pt idx="455">
                  <c:v>-4.5534628138400954</c:v>
                </c:pt>
                <c:pt idx="456">
                  <c:v>-4.6055743993805445</c:v>
                </c:pt>
                <c:pt idx="457">
                  <c:v>-4.6575917944889209</c:v>
                </c:pt>
                <c:pt idx="458">
                  <c:v>-4.7095082047122334</c:v>
                </c:pt>
                <c:pt idx="459">
                  <c:v>-4.7613169528848607</c:v>
                </c:pt>
                <c:pt idx="460">
                  <c:v>-4.8130114796724524</c:v>
                </c:pt>
                <c:pt idx="461">
                  <c:v>-4.8645853440486846</c:v>
                </c:pt>
                <c:pt idx="462">
                  <c:v>-4.916032223705856</c:v>
                </c:pt>
                <c:pt idx="463">
                  <c:v>-4.9673459154004442</c:v>
                </c:pt>
                <c:pt idx="464">
                  <c:v>-5.0185203352346681</c:v>
                </c:pt>
                <c:pt idx="465">
                  <c:v>-5.0695495188752551</c:v>
                </c:pt>
                <c:pt idx="466">
                  <c:v>-5.1204276217104869</c:v>
                </c:pt>
                <c:pt idx="467">
                  <c:v>-5.1711489189467859</c:v>
                </c:pt>
                <c:pt idx="468">
                  <c:v>-5.2217078056459334</c:v>
                </c:pt>
                <c:pt idx="469">
                  <c:v>-5.2720987967042401</c:v>
                </c:pt>
                <c:pt idx="470">
                  <c:v>-5.3223165267748467</c:v>
                </c:pt>
                <c:pt idx="471">
                  <c:v>-5.3723557501343899</c:v>
                </c:pt>
                <c:pt idx="472">
                  <c:v>-5.4222113404953625</c:v>
                </c:pt>
                <c:pt idx="473">
                  <c:v>-5.471878290765372</c:v>
                </c:pt>
                <c:pt idx="474">
                  <c:v>-5.5213517127546394</c:v>
                </c:pt>
                <c:pt idx="475">
                  <c:v>-5.5706268368330267</c:v>
                </c:pt>
                <c:pt idx="476">
                  <c:v>-5.6196990115378602</c:v>
                </c:pt>
                <c:pt idx="477">
                  <c:v>-5.6685637031339411</c:v>
                </c:pt>
                <c:pt idx="478">
                  <c:v>-5.7172164951269817</c:v>
                </c:pt>
                <c:pt idx="479">
                  <c:v>-5.7656530877318337</c:v>
                </c:pt>
                <c:pt idx="480">
                  <c:v>-5.813869297296864</c:v>
                </c:pt>
                <c:pt idx="481">
                  <c:v>-5.8618610556857069</c:v>
                </c:pt>
                <c:pt idx="482">
                  <c:v>-5.909624409617849</c:v>
                </c:pt>
                <c:pt idx="483">
                  <c:v>-5.9571555199692359</c:v>
                </c:pt>
                <c:pt idx="484">
                  <c:v>-6.0044506610343804</c:v>
                </c:pt>
                <c:pt idx="485">
                  <c:v>-6.0515062197511247</c:v>
                </c:pt>
                <c:pt idx="486">
                  <c:v>-6.0983186948894934</c:v>
                </c:pt>
                <c:pt idx="487">
                  <c:v>-6.1448846962059243</c:v>
                </c:pt>
                <c:pt idx="488">
                  <c:v>-6.1912009435641071</c:v>
                </c:pt>
                <c:pt idx="489">
                  <c:v>-6.2372642660238267</c:v>
                </c:pt>
                <c:pt idx="490">
                  <c:v>-6.2830716008990306</c:v>
                </c:pt>
                <c:pt idx="491">
                  <c:v>-6.3286199927863898</c:v>
                </c:pt>
                <c:pt idx="492">
                  <c:v>-6.3739065925656977</c:v>
                </c:pt>
                <c:pt idx="493">
                  <c:v>-6.4189286563732217</c:v>
                </c:pt>
                <c:pt idx="494">
                  <c:v>-6.4636835445494061</c:v>
                </c:pt>
                <c:pt idx="495">
                  <c:v>-6.5081687205620025</c:v>
                </c:pt>
                <c:pt idx="496">
                  <c:v>-6.5523817499059778</c:v>
                </c:pt>
                <c:pt idx="497">
                  <c:v>-6.5963202989812793</c:v>
                </c:pt>
                <c:pt idx="498">
                  <c:v>-6.6399821339497089</c:v>
                </c:pt>
                <c:pt idx="499">
                  <c:v>-6.683365119572076</c:v>
                </c:pt>
                <c:pt idx="500">
                  <c:v>-6.7264672180267313</c:v>
                </c:pt>
                <c:pt idx="501">
                  <c:v>-6.7692864877106356</c:v>
                </c:pt>
                <c:pt idx="502">
                  <c:v>-6.8118210820241059</c:v>
                </c:pt>
                <c:pt idx="503">
                  <c:v>-6.8540692481403118</c:v>
                </c:pt>
                <c:pt idx="504">
                  <c:v>-6.8960293257605869</c:v>
                </c:pt>
                <c:pt idx="505">
                  <c:v>-6.9376997458566239</c:v>
                </c:pt>
                <c:pt idx="506">
                  <c:v>-6.9790790294006202</c:v>
                </c:pt>
                <c:pt idx="507">
                  <c:v>-7.0201657860843572</c:v>
                </c:pt>
                <c:pt idx="508">
                  <c:v>-7.0609587130282145</c:v>
                </c:pt>
                <c:pt idx="509">
                  <c:v>-7.1014565934811591</c:v>
                </c:pt>
                <c:pt idx="510">
                  <c:v>-7.1416582955125394</c:v>
                </c:pt>
                <c:pt idx="511">
                  <c:v>-7.1815627706967788</c:v>
                </c:pt>
                <c:pt idx="512">
                  <c:v>-7.2211690527917716</c:v>
                </c:pt>
                <c:pt idx="513">
                  <c:v>-7.2604762564119243</c:v>
                </c:pt>
                <c:pt idx="514">
                  <c:v>-7.2994835756967031</c:v>
                </c:pt>
                <c:pt idx="515">
                  <c:v>-7.3381902829755496</c:v>
                </c:pt>
                <c:pt idx="516">
                  <c:v>-7.3765957274299883</c:v>
                </c:pt>
                <c:pt idx="517">
                  <c:v>-7.4146993337537399</c:v>
                </c:pt>
                <c:pt idx="518">
                  <c:v>-7.4147370532749033</c:v>
                </c:pt>
                <c:pt idx="519">
                  <c:v>-7.414774772496787</c:v>
                </c:pt>
                <c:pt idx="520">
                  <c:v>-7.4148124914193945</c:v>
                </c:pt>
                <c:pt idx="521">
                  <c:v>-7.4148502100427205</c:v>
                </c:pt>
                <c:pt idx="522">
                  <c:v>-7.4148879283667721</c:v>
                </c:pt>
                <c:pt idx="523">
                  <c:v>-7.4149256463915476</c:v>
                </c:pt>
                <c:pt idx="524">
                  <c:v>-7.4149633641170372</c:v>
                </c:pt>
                <c:pt idx="525">
                  <c:v>-7.4150010815432497</c:v>
                </c:pt>
                <c:pt idx="526">
                  <c:v>-7.415038798670186</c:v>
                </c:pt>
                <c:pt idx="527">
                  <c:v>-7.4150765154978382</c:v>
                </c:pt>
                <c:pt idx="528">
                  <c:v>-7.4151142320262089</c:v>
                </c:pt>
                <c:pt idx="529">
                  <c:v>-7.4151519482553017</c:v>
                </c:pt>
                <c:pt idx="530">
                  <c:v>-7.4151896641851094</c:v>
                </c:pt>
                <c:pt idx="531">
                  <c:v>-7.4152273798156365</c:v>
                </c:pt>
                <c:pt idx="532">
                  <c:v>-7.415265095146883</c:v>
                </c:pt>
                <c:pt idx="533">
                  <c:v>-7.4153028101788445</c:v>
                </c:pt>
                <c:pt idx="534">
                  <c:v>-7.4153405249115245</c:v>
                </c:pt>
                <c:pt idx="535">
                  <c:v>-7.4153782393449177</c:v>
                </c:pt>
                <c:pt idx="536">
                  <c:v>-7.4154159534790303</c:v>
                </c:pt>
                <c:pt idx="537">
                  <c:v>-7.4154536673138525</c:v>
                </c:pt>
                <c:pt idx="538">
                  <c:v>-7.4154913808493941</c:v>
                </c:pt>
                <c:pt idx="539">
                  <c:v>-7.4155290940856489</c:v>
                </c:pt>
                <c:pt idx="540">
                  <c:v>-7.4155668070226168</c:v>
                </c:pt>
                <c:pt idx="541">
                  <c:v>-7.4156045196602962</c:v>
                </c:pt>
                <c:pt idx="542">
                  <c:v>-7.4156422319986932</c:v>
                </c:pt>
                <c:pt idx="543">
                  <c:v>-7.415679944037799</c:v>
                </c:pt>
                <c:pt idx="544">
                  <c:v>-7.4157176557776197</c:v>
                </c:pt>
                <c:pt idx="545">
                  <c:v>-7.4157553672181491</c:v>
                </c:pt>
                <c:pt idx="546">
                  <c:v>-7.4157930783593953</c:v>
                </c:pt>
                <c:pt idx="547">
                  <c:v>-7.4158307892013475</c:v>
                </c:pt>
                <c:pt idx="548">
                  <c:v>-7.4158684997440094</c:v>
                </c:pt>
                <c:pt idx="549">
                  <c:v>-7.4159062099873854</c:v>
                </c:pt>
                <c:pt idx="550">
                  <c:v>-7.4159439199314665</c:v>
                </c:pt>
                <c:pt idx="551">
                  <c:v>-7.4159816295762608</c:v>
                </c:pt>
                <c:pt idx="552">
                  <c:v>-7.4160193389217639</c:v>
                </c:pt>
                <c:pt idx="553">
                  <c:v>-7.4160570479679739</c:v>
                </c:pt>
                <c:pt idx="554">
                  <c:v>-7.41609475671489</c:v>
                </c:pt>
                <c:pt idx="555">
                  <c:v>-7.4161324651625193</c:v>
                </c:pt>
                <c:pt idx="556">
                  <c:v>-7.4161701733108467</c:v>
                </c:pt>
                <c:pt idx="557">
                  <c:v>-7.4162078811598882</c:v>
                </c:pt>
                <c:pt idx="558">
                  <c:v>-7.4162455887096321</c:v>
                </c:pt>
                <c:pt idx="559">
                  <c:v>-7.4162832959600795</c:v>
                </c:pt>
                <c:pt idx="560">
                  <c:v>-7.4163210029112347</c:v>
                </c:pt>
                <c:pt idx="561">
                  <c:v>-7.4163587095630934</c:v>
                </c:pt>
                <c:pt idx="562">
                  <c:v>-7.4163964159156608</c:v>
                </c:pt>
                <c:pt idx="563">
                  <c:v>-7.4164341219689289</c:v>
                </c:pt>
                <c:pt idx="564">
                  <c:v>-7.4164718277229023</c:v>
                </c:pt>
                <c:pt idx="565">
                  <c:v>-7.4165095331775772</c:v>
                </c:pt>
                <c:pt idx="566">
                  <c:v>-7.4165472383329538</c:v>
                </c:pt>
                <c:pt idx="567">
                  <c:v>-7.4165849431890329</c:v>
                </c:pt>
                <c:pt idx="568">
                  <c:v>-7.4166226477458128</c:v>
                </c:pt>
                <c:pt idx="569">
                  <c:v>-7.4166603520032979</c:v>
                </c:pt>
                <c:pt idx="570">
                  <c:v>-7.4166980559614828</c:v>
                </c:pt>
                <c:pt idx="571">
                  <c:v>-7.4167357596203676</c:v>
                </c:pt>
                <c:pt idx="572">
                  <c:v>-7.4167734629799504</c:v>
                </c:pt>
                <c:pt idx="573">
                  <c:v>-7.4168111660402367</c:v>
                </c:pt>
                <c:pt idx="574">
                  <c:v>-7.4168488688012184</c:v>
                </c:pt>
                <c:pt idx="575">
                  <c:v>-7.4168865712628973</c:v>
                </c:pt>
                <c:pt idx="576">
                  <c:v>-7.4169242734252796</c:v>
                </c:pt>
                <c:pt idx="577">
                  <c:v>-7.4169619752883609</c:v>
                </c:pt>
                <c:pt idx="578">
                  <c:v>-7.4169996768521349</c:v>
                </c:pt>
                <c:pt idx="579">
                  <c:v>-7.4170373781166052</c:v>
                </c:pt>
                <c:pt idx="580">
                  <c:v>-7.4170750790817737</c:v>
                </c:pt>
                <c:pt idx="581">
                  <c:v>-7.4171127797476419</c:v>
                </c:pt>
                <c:pt idx="582">
                  <c:v>-7.4171504801142039</c:v>
                </c:pt>
                <c:pt idx="583">
                  <c:v>-7.4171881801814559</c:v>
                </c:pt>
                <c:pt idx="584">
                  <c:v>-7.4172258799494086</c:v>
                </c:pt>
                <c:pt idx="585">
                  <c:v>-7.417263579418055</c:v>
                </c:pt>
                <c:pt idx="586">
                  <c:v>-7.4173012785873942</c:v>
                </c:pt>
                <c:pt idx="587">
                  <c:v>-7.4173389774574279</c:v>
                </c:pt>
                <c:pt idx="588">
                  <c:v>-7.4173766760281534</c:v>
                </c:pt>
                <c:pt idx="589">
                  <c:v>-7.4174143742995735</c:v>
                </c:pt>
                <c:pt idx="590">
                  <c:v>-7.4174520722716837</c:v>
                </c:pt>
                <c:pt idx="591">
                  <c:v>-7.4174897699444875</c:v>
                </c:pt>
                <c:pt idx="592">
                  <c:v>-7.4175274673179814</c:v>
                </c:pt>
                <c:pt idx="593">
                  <c:v>-7.4175651643921645</c:v>
                </c:pt>
                <c:pt idx="594">
                  <c:v>-7.4176028611670404</c:v>
                </c:pt>
                <c:pt idx="595">
                  <c:v>-7.4176405576426045</c:v>
                </c:pt>
                <c:pt idx="596">
                  <c:v>-7.4176782538188624</c:v>
                </c:pt>
                <c:pt idx="597">
                  <c:v>-7.4177159496958041</c:v>
                </c:pt>
                <c:pt idx="598">
                  <c:v>-7.4177536452734403</c:v>
                </c:pt>
                <c:pt idx="599">
                  <c:v>-7.4177913405517604</c:v>
                </c:pt>
                <c:pt idx="600">
                  <c:v>-7.4178290355307697</c:v>
                </c:pt>
                <c:pt idx="601">
                  <c:v>-7.4178667302104673</c:v>
                </c:pt>
                <c:pt idx="602">
                  <c:v>-7.4179044245908488</c:v>
                </c:pt>
                <c:pt idx="603">
                  <c:v>-7.4179421186719194</c:v>
                </c:pt>
                <c:pt idx="604">
                  <c:v>-7.4179798124536731</c:v>
                </c:pt>
                <c:pt idx="605">
                  <c:v>-7.418017505936116</c:v>
                </c:pt>
                <c:pt idx="606">
                  <c:v>-7.4180551991192454</c:v>
                </c:pt>
                <c:pt idx="607">
                  <c:v>-7.4180928920030542</c:v>
                </c:pt>
                <c:pt idx="608">
                  <c:v>-7.4181305845875505</c:v>
                </c:pt>
                <c:pt idx="609">
                  <c:v>-7.4181682768727333</c:v>
                </c:pt>
                <c:pt idx="610">
                  <c:v>-7.4182059688585991</c:v>
                </c:pt>
                <c:pt idx="611">
                  <c:v>-7.4182436605451443</c:v>
                </c:pt>
                <c:pt idx="612">
                  <c:v>-7.418281351932376</c:v>
                </c:pt>
                <c:pt idx="613">
                  <c:v>-7.4183190430202881</c:v>
                </c:pt>
                <c:pt idx="614">
                  <c:v>-7.4183567338088849</c:v>
                </c:pt>
                <c:pt idx="615">
                  <c:v>-7.4183944242981585</c:v>
                </c:pt>
                <c:pt idx="616">
                  <c:v>-7.4184321144881133</c:v>
                </c:pt>
                <c:pt idx="617">
                  <c:v>-7.4184698043787529</c:v>
                </c:pt>
                <c:pt idx="618">
                  <c:v>-7.418507493970071</c:v>
                </c:pt>
                <c:pt idx="619">
                  <c:v>-7.4185451832620659</c:v>
                </c:pt>
                <c:pt idx="620">
                  <c:v>-7.4185828722547411</c:v>
                </c:pt>
                <c:pt idx="621">
                  <c:v>-7.4186205609480949</c:v>
                </c:pt>
                <c:pt idx="622">
                  <c:v>-7.4186582493421316</c:v>
                </c:pt>
                <c:pt idx="623">
                  <c:v>-7.4186959374368433</c:v>
                </c:pt>
                <c:pt idx="624">
                  <c:v>-7.4187336252322309</c:v>
                </c:pt>
                <c:pt idx="625">
                  <c:v>-7.4187713127282988</c:v>
                </c:pt>
                <c:pt idx="626">
                  <c:v>-7.4188089999250391</c:v>
                </c:pt>
                <c:pt idx="627">
                  <c:v>-7.4188466868224596</c:v>
                </c:pt>
                <c:pt idx="628">
                  <c:v>-7.4188843734205534</c:v>
                </c:pt>
                <c:pt idx="629">
                  <c:v>-7.4189220597193257</c:v>
                </c:pt>
                <c:pt idx="630">
                  <c:v>-7.4189597457187721</c:v>
                </c:pt>
                <c:pt idx="631">
                  <c:v>-7.41899743141889</c:v>
                </c:pt>
                <c:pt idx="632">
                  <c:v>-7.4190351168196855</c:v>
                </c:pt>
                <c:pt idx="633">
                  <c:v>-7.4190728019211498</c:v>
                </c:pt>
                <c:pt idx="634">
                  <c:v>-7.4191104867232944</c:v>
                </c:pt>
                <c:pt idx="635">
                  <c:v>-7.4191481712261078</c:v>
                </c:pt>
                <c:pt idx="636">
                  <c:v>-7.4191858554295953</c:v>
                </c:pt>
                <c:pt idx="637">
                  <c:v>-7.4192235393337542</c:v>
                </c:pt>
                <c:pt idx="638">
                  <c:v>-7.4192612229385837</c:v>
                </c:pt>
                <c:pt idx="639">
                  <c:v>-7.4192989062440846</c:v>
                </c:pt>
                <c:pt idx="640">
                  <c:v>-7.4193365892502543</c:v>
                </c:pt>
                <c:pt idx="641">
                  <c:v>-7.4193742719570981</c:v>
                </c:pt>
                <c:pt idx="642">
                  <c:v>-7.4194119543646089</c:v>
                </c:pt>
                <c:pt idx="643">
                  <c:v>-7.4194496364727911</c:v>
                </c:pt>
                <c:pt idx="644">
                  <c:v>-7.4194873182816421</c:v>
                </c:pt>
                <c:pt idx="645">
                  <c:v>-7.4195249997911574</c:v>
                </c:pt>
                <c:pt idx="646">
                  <c:v>-7.4195626810013451</c:v>
                </c:pt>
                <c:pt idx="647">
                  <c:v>-7.419600361912198</c:v>
                </c:pt>
                <c:pt idx="648">
                  <c:v>-7.4196380425237196</c:v>
                </c:pt>
                <c:pt idx="649">
                  <c:v>-7.4196757228359091</c:v>
                </c:pt>
                <c:pt idx="650">
                  <c:v>-7.4197134028487648</c:v>
                </c:pt>
                <c:pt idx="651">
                  <c:v>-7.4197510825622874</c:v>
                </c:pt>
                <c:pt idx="652">
                  <c:v>-7.4197887619764753</c:v>
                </c:pt>
                <c:pt idx="653">
                  <c:v>-7.4198264410913231</c:v>
                </c:pt>
                <c:pt idx="654">
                  <c:v>-7.4198641199068405</c:v>
                </c:pt>
                <c:pt idx="655">
                  <c:v>-7.4199017984230196</c:v>
                </c:pt>
                <c:pt idx="656">
                  <c:v>-7.4199394766398648</c:v>
                </c:pt>
                <c:pt idx="657">
                  <c:v>-7.4199771545573734</c:v>
                </c:pt>
                <c:pt idx="658">
                  <c:v>-7.4200148321755446</c:v>
                </c:pt>
                <c:pt idx="659">
                  <c:v>-7.4200525094943774</c:v>
                </c:pt>
                <c:pt idx="660">
                  <c:v>-7.4200901865138729</c:v>
                </c:pt>
                <c:pt idx="661">
                  <c:v>-7.4201278632340291</c:v>
                </c:pt>
                <c:pt idx="662">
                  <c:v>-7.4201655396548496</c:v>
                </c:pt>
                <c:pt idx="663">
                  <c:v>-7.42020321577633</c:v>
                </c:pt>
                <c:pt idx="664">
                  <c:v>-7.4202408915984686</c:v>
                </c:pt>
                <c:pt idx="665">
                  <c:v>-7.4202785671212661</c:v>
                </c:pt>
                <c:pt idx="666">
                  <c:v>-7.4203162423447289</c:v>
                </c:pt>
                <c:pt idx="667">
                  <c:v>-7.4203539172688471</c:v>
                </c:pt>
                <c:pt idx="668">
                  <c:v>-7.4203915918936225</c:v>
                </c:pt>
                <c:pt idx="669">
                  <c:v>-7.4204292662190579</c:v>
                </c:pt>
                <c:pt idx="670">
                  <c:v>-7.4204669402451495</c:v>
                </c:pt>
                <c:pt idx="671">
                  <c:v>-7.4205046139719002</c:v>
                </c:pt>
                <c:pt idx="672">
                  <c:v>-7.4205422873993063</c:v>
                </c:pt>
                <c:pt idx="673">
                  <c:v>-7.4205799605273715</c:v>
                </c:pt>
                <c:pt idx="674">
                  <c:v>-7.4206176333560885</c:v>
                </c:pt>
                <c:pt idx="675">
                  <c:v>-7.4206553058854663</c:v>
                </c:pt>
                <c:pt idx="676">
                  <c:v>-7.420692978115496</c:v>
                </c:pt>
                <c:pt idx="677">
                  <c:v>-7.4207306500461803</c:v>
                </c:pt>
                <c:pt idx="678">
                  <c:v>-7.4207683216775244</c:v>
                </c:pt>
                <c:pt idx="679">
                  <c:v>-7.4208059930095169</c:v>
                </c:pt>
                <c:pt idx="680">
                  <c:v>-7.420843664042164</c:v>
                </c:pt>
                <c:pt idx="681">
                  <c:v>-7.4208813347754656</c:v>
                </c:pt>
                <c:pt idx="682">
                  <c:v>-7.4209190052094209</c:v>
                </c:pt>
                <c:pt idx="683">
                  <c:v>-7.4209566753440281</c:v>
                </c:pt>
                <c:pt idx="684">
                  <c:v>-7.4209943451792855</c:v>
                </c:pt>
                <c:pt idx="685">
                  <c:v>-7.4210320147151947</c:v>
                </c:pt>
                <c:pt idx="686">
                  <c:v>-7.4210696839517558</c:v>
                </c:pt>
                <c:pt idx="687">
                  <c:v>-7.4211073528889653</c:v>
                </c:pt>
                <c:pt idx="688">
                  <c:v>-7.4211450215268266</c:v>
                </c:pt>
                <c:pt idx="689">
                  <c:v>-7.4211826898653355</c:v>
                </c:pt>
                <c:pt idx="690">
                  <c:v>-7.4212203579044935</c:v>
                </c:pt>
                <c:pt idx="691">
                  <c:v>-7.4212580256443035</c:v>
                </c:pt>
                <c:pt idx="692">
                  <c:v>-7.4212956930847636</c:v>
                </c:pt>
                <c:pt idx="693">
                  <c:v>-7.4213333602258658</c:v>
                </c:pt>
                <c:pt idx="694">
                  <c:v>-7.4213710270676216</c:v>
                </c:pt>
                <c:pt idx="695">
                  <c:v>-7.4214086936100196</c:v>
                </c:pt>
                <c:pt idx="696">
                  <c:v>-7.4214463598530678</c:v>
                </c:pt>
                <c:pt idx="697">
                  <c:v>-7.4214840257967607</c:v>
                </c:pt>
                <c:pt idx="698">
                  <c:v>-7.4215216914410984</c:v>
                </c:pt>
                <c:pt idx="699">
                  <c:v>-7.4215593567860845</c:v>
                </c:pt>
                <c:pt idx="700">
                  <c:v>-7.4215970218317144</c:v>
                </c:pt>
                <c:pt idx="701">
                  <c:v>-7.4216346865779874</c:v>
                </c:pt>
                <c:pt idx="702">
                  <c:v>-7.4216723510249043</c:v>
                </c:pt>
                <c:pt idx="703">
                  <c:v>-7.4217100151724695</c:v>
                </c:pt>
                <c:pt idx="704">
                  <c:v>-7.4217476790206769</c:v>
                </c:pt>
                <c:pt idx="705">
                  <c:v>-7.4217853425695255</c:v>
                </c:pt>
                <c:pt idx="706">
                  <c:v>-7.4218230058190189</c:v>
                </c:pt>
                <c:pt idx="707">
                  <c:v>-7.4218606687691491</c:v>
                </c:pt>
                <c:pt idx="708">
                  <c:v>-7.4218983314199249</c:v>
                </c:pt>
                <c:pt idx="709">
                  <c:v>-7.4219359937713421</c:v>
                </c:pt>
                <c:pt idx="710">
                  <c:v>-7.4219736558233977</c:v>
                </c:pt>
                <c:pt idx="711">
                  <c:v>-7.4220113175760982</c:v>
                </c:pt>
                <c:pt idx="712">
                  <c:v>-7.4220489790294346</c:v>
                </c:pt>
                <c:pt idx="713">
                  <c:v>-7.4220866401834131</c:v>
                </c:pt>
                <c:pt idx="714">
                  <c:v>-7.4221243010380258</c:v>
                </c:pt>
                <c:pt idx="715">
                  <c:v>-7.4221619615932815</c:v>
                </c:pt>
                <c:pt idx="716">
                  <c:v>-7.4221996218491739</c:v>
                </c:pt>
                <c:pt idx="717">
                  <c:v>-7.4222372818057059</c:v>
                </c:pt>
                <c:pt idx="718">
                  <c:v>-7.4222749414628764</c:v>
                </c:pt>
                <c:pt idx="719">
                  <c:v>-7.4223126008206819</c:v>
                </c:pt>
                <c:pt idx="720">
                  <c:v>-7.4223502598791233</c:v>
                </c:pt>
                <c:pt idx="721">
                  <c:v>-7.4223879186381998</c:v>
                </c:pt>
                <c:pt idx="722">
                  <c:v>-7.4224255770979175</c:v>
                </c:pt>
                <c:pt idx="723">
                  <c:v>-7.422463235258264</c:v>
                </c:pt>
                <c:pt idx="724">
                  <c:v>-7.4225008931192473</c:v>
                </c:pt>
                <c:pt idx="725">
                  <c:v>-7.4225385506808683</c:v>
                </c:pt>
                <c:pt idx="726">
                  <c:v>-7.4225762079431181</c:v>
                </c:pt>
                <c:pt idx="727">
                  <c:v>-7.4226138649060047</c:v>
                </c:pt>
                <c:pt idx="728">
                  <c:v>-7.4226515215695272</c:v>
                </c:pt>
                <c:pt idx="729">
                  <c:v>-7.4226891779336777</c:v>
                </c:pt>
                <c:pt idx="730">
                  <c:v>-7.422726833998464</c:v>
                </c:pt>
                <c:pt idx="731">
                  <c:v>-7.4227644897638791</c:v>
                </c:pt>
                <c:pt idx="732">
                  <c:v>-7.4228021452299275</c:v>
                </c:pt>
                <c:pt idx="733">
                  <c:v>-7.4228398003966038</c:v>
                </c:pt>
                <c:pt idx="734">
                  <c:v>-7.4228774552639152</c:v>
                </c:pt>
                <c:pt idx="735">
                  <c:v>-7.422915109831858</c:v>
                </c:pt>
                <c:pt idx="736">
                  <c:v>-7.4229527641004269</c:v>
                </c:pt>
                <c:pt idx="737">
                  <c:v>-7.4229904180696247</c:v>
                </c:pt>
                <c:pt idx="738">
                  <c:v>-7.4230280717394557</c:v>
                </c:pt>
                <c:pt idx="739">
                  <c:v>-7.4230657251099093</c:v>
                </c:pt>
                <c:pt idx="740">
                  <c:v>-7.4231033781809961</c:v>
                </c:pt>
                <c:pt idx="741">
                  <c:v>-7.4231410309527091</c:v>
                </c:pt>
                <c:pt idx="742">
                  <c:v>-7.4231786834250517</c:v>
                </c:pt>
                <c:pt idx="743">
                  <c:v>-7.4232163355980161</c:v>
                </c:pt>
                <c:pt idx="744">
                  <c:v>-7.4232539874716092</c:v>
                </c:pt>
                <c:pt idx="745">
                  <c:v>-7.4232916390458312</c:v>
                </c:pt>
                <c:pt idx="746">
                  <c:v>-7.4233292903206749</c:v>
                </c:pt>
                <c:pt idx="747">
                  <c:v>-7.4233669412961447</c:v>
                </c:pt>
                <c:pt idx="748">
                  <c:v>-7.4234045919722407</c:v>
                </c:pt>
                <c:pt idx="749">
                  <c:v>-7.4234422423489574</c:v>
                </c:pt>
                <c:pt idx="750">
                  <c:v>-7.423479892426303</c:v>
                </c:pt>
                <c:pt idx="751">
                  <c:v>-7.4235175422042721</c:v>
                </c:pt>
                <c:pt idx="752">
                  <c:v>-7.4235551916828593</c:v>
                </c:pt>
                <c:pt idx="753">
                  <c:v>-7.4235928408620717</c:v>
                </c:pt>
                <c:pt idx="754">
                  <c:v>-7.4236304897419023</c:v>
                </c:pt>
                <c:pt idx="755">
                  <c:v>-7.4236681383223617</c:v>
                </c:pt>
                <c:pt idx="756">
                  <c:v>-7.4237057866034393</c:v>
                </c:pt>
                <c:pt idx="757">
                  <c:v>-7.4237434345851376</c:v>
                </c:pt>
                <c:pt idx="758">
                  <c:v>-7.4237810822674577</c:v>
                </c:pt>
                <c:pt idx="759">
                  <c:v>-7.4238187296503959</c:v>
                </c:pt>
                <c:pt idx="760">
                  <c:v>-7.4238563767339549</c:v>
                </c:pt>
                <c:pt idx="761">
                  <c:v>-7.4238940235181303</c:v>
                </c:pt>
                <c:pt idx="762">
                  <c:v>-7.4239316700029319</c:v>
                </c:pt>
                <c:pt idx="763">
                  <c:v>-7.4239693161883453</c:v>
                </c:pt>
                <c:pt idx="764">
                  <c:v>-7.4240069620743796</c:v>
                </c:pt>
                <c:pt idx="765">
                  <c:v>-7.4240446076610329</c:v>
                </c:pt>
                <c:pt idx="766">
                  <c:v>-7.4240822529483008</c:v>
                </c:pt>
                <c:pt idx="767">
                  <c:v>-7.4241198979361851</c:v>
                </c:pt>
                <c:pt idx="768">
                  <c:v>-7.4241575426246831</c:v>
                </c:pt>
                <c:pt idx="769">
                  <c:v>-7.4241951870138045</c:v>
                </c:pt>
                <c:pt idx="770">
                  <c:v>-7.4242328311035344</c:v>
                </c:pt>
                <c:pt idx="771">
                  <c:v>-7.4242704748938868</c:v>
                </c:pt>
                <c:pt idx="772">
                  <c:v>-7.4243081183848476</c:v>
                </c:pt>
                <c:pt idx="773">
                  <c:v>-7.4243457615764257</c:v>
                </c:pt>
                <c:pt idx="774">
                  <c:v>-7.4243834044686166</c:v>
                </c:pt>
                <c:pt idx="775">
                  <c:v>-7.424421047061422</c:v>
                </c:pt>
                <c:pt idx="776">
                  <c:v>-7.4244586893548403</c:v>
                </c:pt>
                <c:pt idx="777">
                  <c:v>-7.4244963313488697</c:v>
                </c:pt>
                <c:pt idx="778">
                  <c:v>-7.4245339730435109</c:v>
                </c:pt>
                <c:pt idx="779">
                  <c:v>-7.4245716144387659</c:v>
                </c:pt>
                <c:pt idx="780">
                  <c:v>-7.4246092555346301</c:v>
                </c:pt>
                <c:pt idx="781">
                  <c:v>-7.4246468963311063</c:v>
                </c:pt>
                <c:pt idx="782">
                  <c:v>-7.4246845368281935</c:v>
                </c:pt>
                <c:pt idx="783">
                  <c:v>-7.4247221770258927</c:v>
                </c:pt>
                <c:pt idx="784">
                  <c:v>-7.4247598169241993</c:v>
                </c:pt>
                <c:pt idx="785">
                  <c:v>-7.4247974565231125</c:v>
                </c:pt>
                <c:pt idx="786">
                  <c:v>-7.4248350958226386</c:v>
                </c:pt>
                <c:pt idx="787">
                  <c:v>-7.4248727348227685</c:v>
                </c:pt>
                <c:pt idx="788">
                  <c:v>-7.4249103735235096</c:v>
                </c:pt>
                <c:pt idx="789">
                  <c:v>-7.4249480119248599</c:v>
                </c:pt>
                <c:pt idx="790">
                  <c:v>-7.4249856500268141</c:v>
                </c:pt>
                <c:pt idx="791">
                  <c:v>-7.4250232878293767</c:v>
                </c:pt>
                <c:pt idx="792">
                  <c:v>-7.4250609253325432</c:v>
                </c:pt>
                <c:pt idx="793">
                  <c:v>-7.4250985625363191</c:v>
                </c:pt>
                <c:pt idx="794">
                  <c:v>-7.4251361994406961</c:v>
                </c:pt>
                <c:pt idx="795">
                  <c:v>-7.4251738360456798</c:v>
                </c:pt>
                <c:pt idx="796">
                  <c:v>-7.4252114723512692</c:v>
                </c:pt>
                <c:pt idx="797">
                  <c:v>-7.4252491083574643</c:v>
                </c:pt>
                <c:pt idx="798">
                  <c:v>-7.4252867440642625</c:v>
                </c:pt>
                <c:pt idx="799">
                  <c:v>-7.4253243794716628</c:v>
                </c:pt>
                <c:pt idx="800">
                  <c:v>-7.425362014579667</c:v>
                </c:pt>
                <c:pt idx="801">
                  <c:v>-7.4253996493882726</c:v>
                </c:pt>
                <c:pt idx="802">
                  <c:v>-7.4254372838974811</c:v>
                </c:pt>
                <c:pt idx="803">
                  <c:v>-7.4254749181072919</c:v>
                </c:pt>
                <c:pt idx="804">
                  <c:v>-7.4255125520176994</c:v>
                </c:pt>
                <c:pt idx="805">
                  <c:v>-7.4255501856287145</c:v>
                </c:pt>
                <c:pt idx="806">
                  <c:v>-7.4255878189403246</c:v>
                </c:pt>
                <c:pt idx="807">
                  <c:v>-7.4256254519525369</c:v>
                </c:pt>
                <c:pt idx="808">
                  <c:v>-7.4256630846653495</c:v>
                </c:pt>
                <c:pt idx="809">
                  <c:v>-7.425700717078759</c:v>
                </c:pt>
                <c:pt idx="810">
                  <c:v>-7.4257383491927689</c:v>
                </c:pt>
                <c:pt idx="811">
                  <c:v>-7.4257759810073791</c:v>
                </c:pt>
                <c:pt idx="812">
                  <c:v>-7.4258136125225844</c:v>
                </c:pt>
                <c:pt idx="813">
                  <c:v>-7.425851243738391</c:v>
                </c:pt>
                <c:pt idx="814">
                  <c:v>-7.4258888746547891</c:v>
                </c:pt>
                <c:pt idx="815">
                  <c:v>-7.4259265052717884</c:v>
                </c:pt>
                <c:pt idx="816">
                  <c:v>-7.4259641355893828</c:v>
                </c:pt>
                <c:pt idx="817">
                  <c:v>-7.4260017656075741</c:v>
                </c:pt>
                <c:pt idx="818">
                  <c:v>-7.4260393953263577</c:v>
                </c:pt>
                <c:pt idx="819">
                  <c:v>-7.4260770247457382</c:v>
                </c:pt>
                <c:pt idx="820">
                  <c:v>-7.4261146538657172</c:v>
                </c:pt>
                <c:pt idx="821">
                  <c:v>-7.4261522826862825</c:v>
                </c:pt>
                <c:pt idx="822">
                  <c:v>-7.4261899112074454</c:v>
                </c:pt>
                <c:pt idx="823">
                  <c:v>-7.4262275394292017</c:v>
                </c:pt>
                <c:pt idx="824">
                  <c:v>-7.4262651673515503</c:v>
                </c:pt>
                <c:pt idx="825">
                  <c:v>-7.4263027949744913</c:v>
                </c:pt>
                <c:pt idx="826">
                  <c:v>-7.4263404222980256</c:v>
                </c:pt>
                <c:pt idx="827">
                  <c:v>-7.4263780493221523</c:v>
                </c:pt>
                <c:pt idx="828">
                  <c:v>-7.426415676046866</c:v>
                </c:pt>
                <c:pt idx="829">
                  <c:v>-7.4264533024721739</c:v>
                </c:pt>
                <c:pt idx="830">
                  <c:v>-7.4264909285980751</c:v>
                </c:pt>
                <c:pt idx="831">
                  <c:v>-7.4265285544245643</c:v>
                </c:pt>
                <c:pt idx="832">
                  <c:v>-7.4265661799516423</c:v>
                </c:pt>
                <c:pt idx="833">
                  <c:v>-7.4266038051793082</c:v>
                </c:pt>
                <c:pt idx="834">
                  <c:v>-7.4266414301075612</c:v>
                </c:pt>
                <c:pt idx="835">
                  <c:v>-7.4266790547364065</c:v>
                </c:pt>
                <c:pt idx="836">
                  <c:v>-7.4267166790658363</c:v>
                </c:pt>
                <c:pt idx="837">
                  <c:v>-7.4267543030958594</c:v>
                </c:pt>
                <c:pt idx="838">
                  <c:v>-7.4267919268264615</c:v>
                </c:pt>
                <c:pt idx="839">
                  <c:v>-7.4268295502576542</c:v>
                </c:pt>
                <c:pt idx="840">
                  <c:v>-7.4268671733894367</c:v>
                </c:pt>
                <c:pt idx="841">
                  <c:v>-7.4269047962218009</c:v>
                </c:pt>
                <c:pt idx="842">
                  <c:v>-7.4269424187547539</c:v>
                </c:pt>
                <c:pt idx="843">
                  <c:v>-7.4269800409882887</c:v>
                </c:pt>
                <c:pt idx="844">
                  <c:v>-7.4270176629224096</c:v>
                </c:pt>
                <c:pt idx="845">
                  <c:v>-7.4270552845571141</c:v>
                </c:pt>
                <c:pt idx="846">
                  <c:v>-7.4270929058924038</c:v>
                </c:pt>
                <c:pt idx="847">
                  <c:v>-7.4271305269282717</c:v>
                </c:pt>
                <c:pt idx="848">
                  <c:v>-7.4271681476647258</c:v>
                </c:pt>
                <c:pt idx="849">
                  <c:v>-7.4272057681017634</c:v>
                </c:pt>
                <c:pt idx="850">
                  <c:v>-7.4272433882393845</c:v>
                </c:pt>
                <c:pt idx="851">
                  <c:v>-7.4272810080775864</c:v>
                </c:pt>
                <c:pt idx="852">
                  <c:v>-7.4273186276163674</c:v>
                </c:pt>
                <c:pt idx="853">
                  <c:v>-7.4273562468557337</c:v>
                </c:pt>
                <c:pt idx="854">
                  <c:v>-7.4273938657956746</c:v>
                </c:pt>
                <c:pt idx="855">
                  <c:v>-7.427431484436199</c:v>
                </c:pt>
                <c:pt idx="856">
                  <c:v>-7.4274691027773043</c:v>
                </c:pt>
                <c:pt idx="857">
                  <c:v>-7.4275067208189869</c:v>
                </c:pt>
                <c:pt idx="858">
                  <c:v>-7.4275443385612485</c:v>
                </c:pt>
                <c:pt idx="859">
                  <c:v>-7.427581956004091</c:v>
                </c:pt>
                <c:pt idx="860">
                  <c:v>-7.4276195731475063</c:v>
                </c:pt>
                <c:pt idx="861">
                  <c:v>-7.4276571899915034</c:v>
                </c:pt>
                <c:pt idx="862">
                  <c:v>-7.4276948065360777</c:v>
                </c:pt>
                <c:pt idx="863">
                  <c:v>-7.4277324227812276</c:v>
                </c:pt>
                <c:pt idx="864">
                  <c:v>-7.4277700387269521</c:v>
                </c:pt>
                <c:pt idx="865">
                  <c:v>-7.427807654373253</c:v>
                </c:pt>
                <c:pt idx="866">
                  <c:v>-7.427845269720132</c:v>
                </c:pt>
                <c:pt idx="867">
                  <c:v>-7.4278828847675875</c:v>
                </c:pt>
                <c:pt idx="868">
                  <c:v>-7.4279204995156141</c:v>
                </c:pt>
                <c:pt idx="869">
                  <c:v>-7.4279581139642161</c:v>
                </c:pt>
                <c:pt idx="870">
                  <c:v>-7.4279957281133928</c:v>
                </c:pt>
                <c:pt idx="871">
                  <c:v>-7.4280333419631406</c:v>
                </c:pt>
                <c:pt idx="872">
                  <c:v>-7.4280709555134674</c:v>
                </c:pt>
                <c:pt idx="873">
                  <c:v>-7.4281085687643582</c:v>
                </c:pt>
                <c:pt idx="874">
                  <c:v>-7.4281461817158236</c:v>
                </c:pt>
                <c:pt idx="875">
                  <c:v>-7.4281837943678619</c:v>
                </c:pt>
                <c:pt idx="876">
                  <c:v>-7.4282214067204739</c:v>
                </c:pt>
                <c:pt idx="877">
                  <c:v>-7.428259018773657</c:v>
                </c:pt>
                <c:pt idx="878">
                  <c:v>-7.4282966305274067</c:v>
                </c:pt>
                <c:pt idx="879">
                  <c:v>-7.4283342419817302</c:v>
                </c:pt>
                <c:pt idx="880">
                  <c:v>-7.4283718531366194</c:v>
                </c:pt>
                <c:pt idx="881">
                  <c:v>-7.4284094639920841</c:v>
                </c:pt>
                <c:pt idx="882">
                  <c:v>-7.4284470745481128</c:v>
                </c:pt>
                <c:pt idx="883">
                  <c:v>-7.4284846848047081</c:v>
                </c:pt>
                <c:pt idx="884">
                  <c:v>-7.4285222947618763</c:v>
                </c:pt>
                <c:pt idx="885">
                  <c:v>-7.4285599044196138</c:v>
                </c:pt>
                <c:pt idx="886">
                  <c:v>-7.4285975137779117</c:v>
                </c:pt>
                <c:pt idx="887">
                  <c:v>-7.4286351228367833</c:v>
                </c:pt>
                <c:pt idx="888">
                  <c:v>-7.4286727315962189</c:v>
                </c:pt>
                <c:pt idx="889">
                  <c:v>-7.4287103400562202</c:v>
                </c:pt>
                <c:pt idx="890">
                  <c:v>-7.4287479482167873</c:v>
                </c:pt>
                <c:pt idx="891">
                  <c:v>-7.4287855560779192</c:v>
                </c:pt>
                <c:pt idx="892">
                  <c:v>-7.4288231636396151</c:v>
                </c:pt>
                <c:pt idx="893">
                  <c:v>-7.4288607709018786</c:v>
                </c:pt>
                <c:pt idx="894">
                  <c:v>-7.4288983778647015</c:v>
                </c:pt>
                <c:pt idx="895">
                  <c:v>-7.4289359845280893</c:v>
                </c:pt>
                <c:pt idx="896">
                  <c:v>-7.4289735908920438</c:v>
                </c:pt>
                <c:pt idx="897">
                  <c:v>-7.4290111969565551</c:v>
                </c:pt>
                <c:pt idx="898">
                  <c:v>-7.4290488027216348</c:v>
                </c:pt>
                <c:pt idx="899">
                  <c:v>-7.4290864081872696</c:v>
                </c:pt>
                <c:pt idx="900">
                  <c:v>-7.4291240133534702</c:v>
                </c:pt>
                <c:pt idx="901">
                  <c:v>-7.4291616182202338</c:v>
                </c:pt>
                <c:pt idx="902">
                  <c:v>-7.4291992227875534</c:v>
                </c:pt>
                <c:pt idx="903">
                  <c:v>-7.4292368270554388</c:v>
                </c:pt>
                <c:pt idx="904">
                  <c:v>-7.4292744310238801</c:v>
                </c:pt>
                <c:pt idx="905">
                  <c:v>-7.4293120346928836</c:v>
                </c:pt>
                <c:pt idx="906">
                  <c:v>-7.4293496380624431</c:v>
                </c:pt>
                <c:pt idx="907">
                  <c:v>-7.4293872411325621</c:v>
                </c:pt>
                <c:pt idx="908">
                  <c:v>-7.4294248439032371</c:v>
                </c:pt>
                <c:pt idx="909">
                  <c:v>-7.4294624463744734</c:v>
                </c:pt>
                <c:pt idx="910">
                  <c:v>-7.4295000485462692</c:v>
                </c:pt>
                <c:pt idx="911">
                  <c:v>-7.429537650418621</c:v>
                </c:pt>
                <c:pt idx="912">
                  <c:v>-7.4295752519915261</c:v>
                </c:pt>
                <c:pt idx="913">
                  <c:v>-7.4296128532649872</c:v>
                </c:pt>
                <c:pt idx="914">
                  <c:v>-7.4296504542390052</c:v>
                </c:pt>
                <c:pt idx="915">
                  <c:v>-7.42968805491358</c:v>
                </c:pt>
                <c:pt idx="916">
                  <c:v>-7.4297256552887125</c:v>
                </c:pt>
                <c:pt idx="917">
                  <c:v>-7.4297632553643931</c:v>
                </c:pt>
                <c:pt idx="918">
                  <c:v>-7.4298008551406332</c:v>
                </c:pt>
                <c:pt idx="919">
                  <c:v>-7.4298384546174203</c:v>
                </c:pt>
                <c:pt idx="920">
                  <c:v>-7.4298760537947679</c:v>
                </c:pt>
                <c:pt idx="921">
                  <c:v>-7.4299136526726652</c:v>
                </c:pt>
                <c:pt idx="922">
                  <c:v>-7.4299512512511194</c:v>
                </c:pt>
                <c:pt idx="923">
                  <c:v>-7.4299888495301216</c:v>
                </c:pt>
                <c:pt idx="924">
                  <c:v>-7.4300264475096753</c:v>
                </c:pt>
                <c:pt idx="925">
                  <c:v>-7.430064045189777</c:v>
                </c:pt>
                <c:pt idx="926">
                  <c:v>-7.4301016425704365</c:v>
                </c:pt>
                <c:pt idx="927">
                  <c:v>-7.4301392396516448</c:v>
                </c:pt>
                <c:pt idx="928">
                  <c:v>-7.4301768364334011</c:v>
                </c:pt>
                <c:pt idx="929">
                  <c:v>-7.4302144329157045</c:v>
                </c:pt>
                <c:pt idx="930">
                  <c:v>-7.4302520290985603</c:v>
                </c:pt>
                <c:pt idx="931">
                  <c:v>-7.4302896249819632</c:v>
                </c:pt>
                <c:pt idx="932">
                  <c:v>-7.4303272205659168</c:v>
                </c:pt>
                <c:pt idx="933">
                  <c:v>-7.4303648158504192</c:v>
                </c:pt>
                <c:pt idx="934">
                  <c:v>-7.4304024108354687</c:v>
                </c:pt>
                <c:pt idx="935">
                  <c:v>-7.4304400055210635</c:v>
                </c:pt>
                <c:pt idx="936">
                  <c:v>-7.4304775999072064</c:v>
                </c:pt>
                <c:pt idx="937">
                  <c:v>-7.4305151939938936</c:v>
                </c:pt>
                <c:pt idx="938">
                  <c:v>-7.4305527877811288</c:v>
                </c:pt>
                <c:pt idx="939">
                  <c:v>-7.4305903812689058</c:v>
                </c:pt>
                <c:pt idx="940">
                  <c:v>-7.4306279744572343</c:v>
                </c:pt>
                <c:pt idx="941">
                  <c:v>-7.4306655673461046</c:v>
                </c:pt>
                <c:pt idx="942">
                  <c:v>-7.4307031599355184</c:v>
                </c:pt>
                <c:pt idx="943">
                  <c:v>-7.4307407522254785</c:v>
                </c:pt>
                <c:pt idx="944">
                  <c:v>-7.4307783442159776</c:v>
                </c:pt>
                <c:pt idx="945">
                  <c:v>-7.4308159359070221</c:v>
                </c:pt>
                <c:pt idx="946">
                  <c:v>-7.4308535272986127</c:v>
                </c:pt>
                <c:pt idx="947">
                  <c:v>-7.4308911183907433</c:v>
                </c:pt>
                <c:pt idx="948">
                  <c:v>-7.4309287091834149</c:v>
                </c:pt>
                <c:pt idx="949">
                  <c:v>-7.4309662996766281</c:v>
                </c:pt>
                <c:pt idx="950">
                  <c:v>-7.4310038898703832</c:v>
                </c:pt>
                <c:pt idx="951">
                  <c:v>-7.4310414797646782</c:v>
                </c:pt>
                <c:pt idx="952">
                  <c:v>-7.4310790693595159</c:v>
                </c:pt>
                <c:pt idx="953">
                  <c:v>-7.4311166586548918</c:v>
                </c:pt>
                <c:pt idx="954">
                  <c:v>-7.4311542476508059</c:v>
                </c:pt>
                <c:pt idx="955">
                  <c:v>-7.43119183634726</c:v>
                </c:pt>
                <c:pt idx="956">
                  <c:v>-7.4312294247442514</c:v>
                </c:pt>
                <c:pt idx="957">
                  <c:v>-7.4312670128417864</c:v>
                </c:pt>
                <c:pt idx="958">
                  <c:v>-7.4313046006398507</c:v>
                </c:pt>
                <c:pt idx="959">
                  <c:v>-7.4313421881384594</c:v>
                </c:pt>
                <c:pt idx="960">
                  <c:v>-7.4313797753376036</c:v>
                </c:pt>
                <c:pt idx="961">
                  <c:v>-7.4314173622372843</c:v>
                </c:pt>
                <c:pt idx="962">
                  <c:v>-7.4314549488374997</c:v>
                </c:pt>
                <c:pt idx="963">
                  <c:v>-7.4314925351382524</c:v>
                </c:pt>
                <c:pt idx="964">
                  <c:v>-7.4315301211395379</c:v>
                </c:pt>
                <c:pt idx="965">
                  <c:v>-7.4315677068413617</c:v>
                </c:pt>
                <c:pt idx="966">
                  <c:v>-7.4316052922437175</c:v>
                </c:pt>
                <c:pt idx="967">
                  <c:v>-7.4316428773466088</c:v>
                </c:pt>
                <c:pt idx="968">
                  <c:v>-7.4316804621500347</c:v>
                </c:pt>
                <c:pt idx="969">
                  <c:v>-7.4317180466539927</c:v>
                </c:pt>
                <c:pt idx="970">
                  <c:v>-7.4317556308584836</c:v>
                </c:pt>
                <c:pt idx="971">
                  <c:v>-7.4317932147635091</c:v>
                </c:pt>
                <c:pt idx="972">
                  <c:v>-7.4318307983690621</c:v>
                </c:pt>
                <c:pt idx="973">
                  <c:v>-7.4318683816751525</c:v>
                </c:pt>
                <c:pt idx="974">
                  <c:v>-7.4319059646817696</c:v>
                </c:pt>
                <c:pt idx="975">
                  <c:v>-7.4319435473889204</c:v>
                </c:pt>
                <c:pt idx="976">
                  <c:v>-7.4319811297965996</c:v>
                </c:pt>
                <c:pt idx="977">
                  <c:v>-7.4320187119048127</c:v>
                </c:pt>
                <c:pt idx="978">
                  <c:v>-7.4320562937135488</c:v>
                </c:pt>
                <c:pt idx="979">
                  <c:v>-7.4320938752228232</c:v>
                </c:pt>
                <c:pt idx="980">
                  <c:v>-7.4321314564326197</c:v>
                </c:pt>
                <c:pt idx="981">
                  <c:v>-7.432169037342943</c:v>
                </c:pt>
                <c:pt idx="982">
                  <c:v>-7.4322066179538027</c:v>
                </c:pt>
                <c:pt idx="983">
                  <c:v>-7.4322441982651828</c:v>
                </c:pt>
                <c:pt idx="984">
                  <c:v>-7.4322817782770914</c:v>
                </c:pt>
                <c:pt idx="985">
                  <c:v>-7.4323193579895293</c:v>
                </c:pt>
                <c:pt idx="986">
                  <c:v>-7.432356937402492</c:v>
                </c:pt>
                <c:pt idx="987">
                  <c:v>-7.4323945165159797</c:v>
                </c:pt>
                <c:pt idx="988">
                  <c:v>-7.4324320953299976</c:v>
                </c:pt>
                <c:pt idx="989">
                  <c:v>-7.4324696738445377</c:v>
                </c:pt>
                <c:pt idx="990">
                  <c:v>-7.4325072520595992</c:v>
                </c:pt>
                <c:pt idx="991">
                  <c:v>-7.4325448299751899</c:v>
                </c:pt>
                <c:pt idx="992">
                  <c:v>-7.432582407591303</c:v>
                </c:pt>
                <c:pt idx="993">
                  <c:v>-7.4326199849079391</c:v>
                </c:pt>
                <c:pt idx="994">
                  <c:v>-7.4326575619251019</c:v>
                </c:pt>
                <c:pt idx="995">
                  <c:v>-7.4326951386427877</c:v>
                </c:pt>
                <c:pt idx="996">
                  <c:v>-7.4327327150609914</c:v>
                </c:pt>
                <c:pt idx="997">
                  <c:v>-7.4327702911797173</c:v>
                </c:pt>
                <c:pt idx="998">
                  <c:v>-7.4328078669989672</c:v>
                </c:pt>
                <c:pt idx="999">
                  <c:v>-7.4328454425187367</c:v>
                </c:pt>
                <c:pt idx="1000">
                  <c:v>-7.4328830177390275</c:v>
                </c:pt>
              </c:numCache>
            </c:numRef>
          </c:yVal>
          <c:smooth val="0"/>
          <c:extLst>
            <c:ext xmlns:c16="http://schemas.microsoft.com/office/drawing/2014/chart" uri="{C3380CC4-5D6E-409C-BE32-E72D297353CC}">
              <c16:uniqueId val="{00000001-BDD6-4E9B-9AFA-2396233049A9}"/>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33.600100000000211</c:v>
                </c:pt>
                <c:pt idx="518">
                  <c:v>33.600200000000214</c:v>
                </c:pt>
                <c:pt idx="519">
                  <c:v>33.600300000000217</c:v>
                </c:pt>
                <c:pt idx="520">
                  <c:v>33.600400000000221</c:v>
                </c:pt>
                <c:pt idx="521">
                  <c:v>33.600500000000224</c:v>
                </c:pt>
                <c:pt idx="522">
                  <c:v>33.600600000000227</c:v>
                </c:pt>
                <c:pt idx="523">
                  <c:v>33.600700000000231</c:v>
                </c:pt>
                <c:pt idx="524">
                  <c:v>33.600800000000234</c:v>
                </c:pt>
                <c:pt idx="525">
                  <c:v>33.600900000000237</c:v>
                </c:pt>
                <c:pt idx="526">
                  <c:v>33.601000000000241</c:v>
                </c:pt>
                <c:pt idx="527">
                  <c:v>33.601100000000244</c:v>
                </c:pt>
                <c:pt idx="528">
                  <c:v>33.601200000000247</c:v>
                </c:pt>
                <c:pt idx="529">
                  <c:v>33.601300000000251</c:v>
                </c:pt>
                <c:pt idx="530">
                  <c:v>33.601400000000254</c:v>
                </c:pt>
                <c:pt idx="531">
                  <c:v>33.601500000000257</c:v>
                </c:pt>
                <c:pt idx="532">
                  <c:v>33.601600000000261</c:v>
                </c:pt>
                <c:pt idx="533">
                  <c:v>33.601700000000264</c:v>
                </c:pt>
                <c:pt idx="534">
                  <c:v>33.601800000000267</c:v>
                </c:pt>
                <c:pt idx="535">
                  <c:v>33.601900000000271</c:v>
                </c:pt>
                <c:pt idx="536">
                  <c:v>33.602000000000274</c:v>
                </c:pt>
                <c:pt idx="537">
                  <c:v>33.602100000000277</c:v>
                </c:pt>
                <c:pt idx="538">
                  <c:v>33.602200000000281</c:v>
                </c:pt>
                <c:pt idx="539">
                  <c:v>33.602300000000284</c:v>
                </c:pt>
                <c:pt idx="540">
                  <c:v>33.602400000000287</c:v>
                </c:pt>
                <c:pt idx="541">
                  <c:v>33.60250000000029</c:v>
                </c:pt>
                <c:pt idx="542">
                  <c:v>33.602600000000294</c:v>
                </c:pt>
                <c:pt idx="543">
                  <c:v>33.602700000000297</c:v>
                </c:pt>
                <c:pt idx="544">
                  <c:v>33.6028000000003</c:v>
                </c:pt>
                <c:pt idx="545">
                  <c:v>33.602900000000304</c:v>
                </c:pt>
                <c:pt idx="546">
                  <c:v>33.603000000000307</c:v>
                </c:pt>
                <c:pt idx="547">
                  <c:v>33.60310000000031</c:v>
                </c:pt>
                <c:pt idx="548">
                  <c:v>33.603200000000314</c:v>
                </c:pt>
                <c:pt idx="549">
                  <c:v>33.603300000000317</c:v>
                </c:pt>
                <c:pt idx="550">
                  <c:v>33.60340000000032</c:v>
                </c:pt>
                <c:pt idx="551">
                  <c:v>33.603500000000324</c:v>
                </c:pt>
                <c:pt idx="552">
                  <c:v>33.603600000000327</c:v>
                </c:pt>
                <c:pt idx="553">
                  <c:v>33.60370000000033</c:v>
                </c:pt>
                <c:pt idx="554">
                  <c:v>33.603800000000334</c:v>
                </c:pt>
                <c:pt idx="555">
                  <c:v>33.603900000000337</c:v>
                </c:pt>
                <c:pt idx="556">
                  <c:v>33.60400000000034</c:v>
                </c:pt>
                <c:pt idx="557">
                  <c:v>33.604100000000344</c:v>
                </c:pt>
                <c:pt idx="558">
                  <c:v>33.604200000000347</c:v>
                </c:pt>
                <c:pt idx="559">
                  <c:v>33.60430000000035</c:v>
                </c:pt>
                <c:pt idx="560">
                  <c:v>33.604400000000354</c:v>
                </c:pt>
                <c:pt idx="561">
                  <c:v>33.604500000000357</c:v>
                </c:pt>
                <c:pt idx="562">
                  <c:v>33.60460000000036</c:v>
                </c:pt>
                <c:pt idx="563">
                  <c:v>33.604700000000364</c:v>
                </c:pt>
                <c:pt idx="564">
                  <c:v>33.604800000000367</c:v>
                </c:pt>
                <c:pt idx="565">
                  <c:v>33.60490000000037</c:v>
                </c:pt>
                <c:pt idx="566">
                  <c:v>33.605000000000373</c:v>
                </c:pt>
                <c:pt idx="567">
                  <c:v>33.605100000000377</c:v>
                </c:pt>
                <c:pt idx="568">
                  <c:v>33.60520000000038</c:v>
                </c:pt>
                <c:pt idx="569">
                  <c:v>33.605300000000383</c:v>
                </c:pt>
                <c:pt idx="570">
                  <c:v>33.605400000000387</c:v>
                </c:pt>
                <c:pt idx="571">
                  <c:v>33.60550000000039</c:v>
                </c:pt>
                <c:pt idx="572">
                  <c:v>33.605600000000393</c:v>
                </c:pt>
                <c:pt idx="573">
                  <c:v>33.605700000000397</c:v>
                </c:pt>
                <c:pt idx="574">
                  <c:v>33.6058000000004</c:v>
                </c:pt>
                <c:pt idx="575">
                  <c:v>33.605900000000403</c:v>
                </c:pt>
                <c:pt idx="576">
                  <c:v>33.606000000000407</c:v>
                </c:pt>
                <c:pt idx="577">
                  <c:v>33.60610000000041</c:v>
                </c:pt>
                <c:pt idx="578">
                  <c:v>33.606200000000413</c:v>
                </c:pt>
                <c:pt idx="579">
                  <c:v>33.606300000000417</c:v>
                </c:pt>
                <c:pt idx="580">
                  <c:v>33.60640000000042</c:v>
                </c:pt>
                <c:pt idx="581">
                  <c:v>33.606500000000423</c:v>
                </c:pt>
                <c:pt idx="582">
                  <c:v>33.606600000000427</c:v>
                </c:pt>
                <c:pt idx="583">
                  <c:v>33.60670000000043</c:v>
                </c:pt>
                <c:pt idx="584">
                  <c:v>33.606800000000433</c:v>
                </c:pt>
                <c:pt idx="585">
                  <c:v>33.606900000000437</c:v>
                </c:pt>
                <c:pt idx="586">
                  <c:v>33.60700000000044</c:v>
                </c:pt>
                <c:pt idx="587">
                  <c:v>33.607100000000443</c:v>
                </c:pt>
                <c:pt idx="588">
                  <c:v>33.607200000000446</c:v>
                </c:pt>
                <c:pt idx="589">
                  <c:v>33.60730000000045</c:v>
                </c:pt>
                <c:pt idx="590">
                  <c:v>33.607400000000453</c:v>
                </c:pt>
                <c:pt idx="591">
                  <c:v>33.607500000000456</c:v>
                </c:pt>
                <c:pt idx="592">
                  <c:v>33.60760000000046</c:v>
                </c:pt>
                <c:pt idx="593">
                  <c:v>33.607700000000463</c:v>
                </c:pt>
                <c:pt idx="594">
                  <c:v>33.607800000000466</c:v>
                </c:pt>
                <c:pt idx="595">
                  <c:v>33.60790000000047</c:v>
                </c:pt>
                <c:pt idx="596">
                  <c:v>33.608000000000473</c:v>
                </c:pt>
                <c:pt idx="597">
                  <c:v>33.608100000000476</c:v>
                </c:pt>
                <c:pt idx="598">
                  <c:v>33.60820000000048</c:v>
                </c:pt>
                <c:pt idx="599">
                  <c:v>33.608300000000483</c:v>
                </c:pt>
                <c:pt idx="600">
                  <c:v>33.608400000000486</c:v>
                </c:pt>
                <c:pt idx="601">
                  <c:v>33.60850000000049</c:v>
                </c:pt>
                <c:pt idx="602">
                  <c:v>33.608600000000493</c:v>
                </c:pt>
                <c:pt idx="603">
                  <c:v>33.608700000000496</c:v>
                </c:pt>
                <c:pt idx="604">
                  <c:v>33.6088000000005</c:v>
                </c:pt>
                <c:pt idx="605">
                  <c:v>33.608900000000503</c:v>
                </c:pt>
                <c:pt idx="606">
                  <c:v>33.609000000000506</c:v>
                </c:pt>
                <c:pt idx="607">
                  <c:v>33.60910000000051</c:v>
                </c:pt>
                <c:pt idx="608">
                  <c:v>33.609200000000513</c:v>
                </c:pt>
                <c:pt idx="609">
                  <c:v>33.609300000000516</c:v>
                </c:pt>
                <c:pt idx="610">
                  <c:v>33.60940000000052</c:v>
                </c:pt>
                <c:pt idx="611">
                  <c:v>33.609500000000523</c:v>
                </c:pt>
                <c:pt idx="612">
                  <c:v>33.609600000000526</c:v>
                </c:pt>
                <c:pt idx="613">
                  <c:v>33.609700000000529</c:v>
                </c:pt>
                <c:pt idx="614">
                  <c:v>33.609800000000533</c:v>
                </c:pt>
                <c:pt idx="615">
                  <c:v>33.609900000000536</c:v>
                </c:pt>
                <c:pt idx="616">
                  <c:v>33.610000000000539</c:v>
                </c:pt>
                <c:pt idx="617">
                  <c:v>33.610100000000543</c:v>
                </c:pt>
                <c:pt idx="618">
                  <c:v>33.610200000000546</c:v>
                </c:pt>
                <c:pt idx="619">
                  <c:v>33.610300000000549</c:v>
                </c:pt>
                <c:pt idx="620">
                  <c:v>33.610400000000553</c:v>
                </c:pt>
                <c:pt idx="621">
                  <c:v>33.610500000000556</c:v>
                </c:pt>
                <c:pt idx="622">
                  <c:v>33.610600000000559</c:v>
                </c:pt>
                <c:pt idx="623">
                  <c:v>33.610700000000563</c:v>
                </c:pt>
                <c:pt idx="624">
                  <c:v>33.610800000000566</c:v>
                </c:pt>
                <c:pt idx="625">
                  <c:v>33.610900000000569</c:v>
                </c:pt>
                <c:pt idx="626">
                  <c:v>33.611000000000573</c:v>
                </c:pt>
                <c:pt idx="627">
                  <c:v>33.611100000000576</c:v>
                </c:pt>
                <c:pt idx="628">
                  <c:v>33.611200000000579</c:v>
                </c:pt>
                <c:pt idx="629">
                  <c:v>33.611300000000583</c:v>
                </c:pt>
                <c:pt idx="630">
                  <c:v>33.611400000000586</c:v>
                </c:pt>
                <c:pt idx="631">
                  <c:v>33.611500000000589</c:v>
                </c:pt>
                <c:pt idx="632">
                  <c:v>33.611600000000593</c:v>
                </c:pt>
                <c:pt idx="633">
                  <c:v>33.611700000000596</c:v>
                </c:pt>
                <c:pt idx="634">
                  <c:v>33.611800000000599</c:v>
                </c:pt>
                <c:pt idx="635">
                  <c:v>33.611900000000603</c:v>
                </c:pt>
                <c:pt idx="636">
                  <c:v>33.612000000000606</c:v>
                </c:pt>
                <c:pt idx="637">
                  <c:v>33.612100000000609</c:v>
                </c:pt>
                <c:pt idx="638">
                  <c:v>33.612200000000612</c:v>
                </c:pt>
                <c:pt idx="639">
                  <c:v>33.612300000000616</c:v>
                </c:pt>
                <c:pt idx="640">
                  <c:v>33.612400000000619</c:v>
                </c:pt>
                <c:pt idx="641">
                  <c:v>33.612500000000622</c:v>
                </c:pt>
                <c:pt idx="642">
                  <c:v>33.612600000000626</c:v>
                </c:pt>
                <c:pt idx="643">
                  <c:v>33.612700000000629</c:v>
                </c:pt>
                <c:pt idx="644">
                  <c:v>33.612800000000632</c:v>
                </c:pt>
                <c:pt idx="645">
                  <c:v>33.612900000000636</c:v>
                </c:pt>
                <c:pt idx="646">
                  <c:v>33.613000000000639</c:v>
                </c:pt>
                <c:pt idx="647">
                  <c:v>33.613100000000642</c:v>
                </c:pt>
                <c:pt idx="648">
                  <c:v>33.613200000000646</c:v>
                </c:pt>
                <c:pt idx="649">
                  <c:v>33.613300000000649</c:v>
                </c:pt>
                <c:pt idx="650">
                  <c:v>33.613400000000652</c:v>
                </c:pt>
                <c:pt idx="651">
                  <c:v>33.613500000000656</c:v>
                </c:pt>
                <c:pt idx="652">
                  <c:v>33.613600000000659</c:v>
                </c:pt>
                <c:pt idx="653">
                  <c:v>33.613700000000662</c:v>
                </c:pt>
                <c:pt idx="654">
                  <c:v>33.613800000000666</c:v>
                </c:pt>
                <c:pt idx="655">
                  <c:v>33.613900000000669</c:v>
                </c:pt>
                <c:pt idx="656">
                  <c:v>33.614000000000672</c:v>
                </c:pt>
                <c:pt idx="657">
                  <c:v>33.614100000000676</c:v>
                </c:pt>
                <c:pt idx="658">
                  <c:v>33.614200000000679</c:v>
                </c:pt>
                <c:pt idx="659">
                  <c:v>33.614300000000682</c:v>
                </c:pt>
                <c:pt idx="660">
                  <c:v>33.614400000000686</c:v>
                </c:pt>
                <c:pt idx="661">
                  <c:v>33.614500000000689</c:v>
                </c:pt>
                <c:pt idx="662">
                  <c:v>33.614600000000692</c:v>
                </c:pt>
                <c:pt idx="663">
                  <c:v>33.614700000000695</c:v>
                </c:pt>
                <c:pt idx="664">
                  <c:v>33.614800000000699</c:v>
                </c:pt>
                <c:pt idx="665">
                  <c:v>33.614900000000702</c:v>
                </c:pt>
                <c:pt idx="666">
                  <c:v>33.615000000000705</c:v>
                </c:pt>
                <c:pt idx="667">
                  <c:v>33.615100000000709</c:v>
                </c:pt>
                <c:pt idx="668">
                  <c:v>33.615200000000712</c:v>
                </c:pt>
                <c:pt idx="669">
                  <c:v>33.615300000000715</c:v>
                </c:pt>
                <c:pt idx="670">
                  <c:v>33.615400000000719</c:v>
                </c:pt>
                <c:pt idx="671">
                  <c:v>33.615500000000722</c:v>
                </c:pt>
                <c:pt idx="672">
                  <c:v>33.615600000000725</c:v>
                </c:pt>
                <c:pt idx="673">
                  <c:v>33.615700000000729</c:v>
                </c:pt>
                <c:pt idx="674">
                  <c:v>33.615800000000732</c:v>
                </c:pt>
                <c:pt idx="675">
                  <c:v>33.615900000000735</c:v>
                </c:pt>
                <c:pt idx="676">
                  <c:v>33.616000000000739</c:v>
                </c:pt>
                <c:pt idx="677">
                  <c:v>33.616100000000742</c:v>
                </c:pt>
                <c:pt idx="678">
                  <c:v>33.616200000000745</c:v>
                </c:pt>
                <c:pt idx="679">
                  <c:v>33.616300000000749</c:v>
                </c:pt>
                <c:pt idx="680">
                  <c:v>33.616400000000752</c:v>
                </c:pt>
                <c:pt idx="681">
                  <c:v>33.616500000000755</c:v>
                </c:pt>
                <c:pt idx="682">
                  <c:v>33.616600000000759</c:v>
                </c:pt>
                <c:pt idx="683">
                  <c:v>33.616700000000762</c:v>
                </c:pt>
                <c:pt idx="684">
                  <c:v>33.616800000000765</c:v>
                </c:pt>
                <c:pt idx="685">
                  <c:v>33.616900000000769</c:v>
                </c:pt>
                <c:pt idx="686">
                  <c:v>33.617000000000772</c:v>
                </c:pt>
                <c:pt idx="687">
                  <c:v>33.617100000000775</c:v>
                </c:pt>
                <c:pt idx="688">
                  <c:v>33.617200000000778</c:v>
                </c:pt>
                <c:pt idx="689">
                  <c:v>33.617300000000782</c:v>
                </c:pt>
                <c:pt idx="690">
                  <c:v>33.617400000000785</c:v>
                </c:pt>
                <c:pt idx="691">
                  <c:v>33.617500000000788</c:v>
                </c:pt>
                <c:pt idx="692">
                  <c:v>33.617600000000792</c:v>
                </c:pt>
                <c:pt idx="693">
                  <c:v>33.617700000000795</c:v>
                </c:pt>
                <c:pt idx="694">
                  <c:v>33.617800000000798</c:v>
                </c:pt>
                <c:pt idx="695">
                  <c:v>33.617900000000802</c:v>
                </c:pt>
                <c:pt idx="696">
                  <c:v>33.618000000000805</c:v>
                </c:pt>
                <c:pt idx="697">
                  <c:v>33.618100000000808</c:v>
                </c:pt>
                <c:pt idx="698">
                  <c:v>33.618200000000812</c:v>
                </c:pt>
                <c:pt idx="699">
                  <c:v>33.618300000000815</c:v>
                </c:pt>
                <c:pt idx="700">
                  <c:v>33.618400000000818</c:v>
                </c:pt>
                <c:pt idx="701">
                  <c:v>33.618500000000822</c:v>
                </c:pt>
                <c:pt idx="702">
                  <c:v>33.618600000000825</c:v>
                </c:pt>
                <c:pt idx="703">
                  <c:v>33.618700000000828</c:v>
                </c:pt>
                <c:pt idx="704">
                  <c:v>33.618800000000832</c:v>
                </c:pt>
                <c:pt idx="705">
                  <c:v>33.618900000000835</c:v>
                </c:pt>
                <c:pt idx="706">
                  <c:v>33.619000000000838</c:v>
                </c:pt>
                <c:pt idx="707">
                  <c:v>33.619100000000842</c:v>
                </c:pt>
                <c:pt idx="708">
                  <c:v>33.619200000000845</c:v>
                </c:pt>
                <c:pt idx="709">
                  <c:v>33.619300000000848</c:v>
                </c:pt>
                <c:pt idx="710">
                  <c:v>33.619400000000851</c:v>
                </c:pt>
                <c:pt idx="711">
                  <c:v>33.619500000000855</c:v>
                </c:pt>
                <c:pt idx="712">
                  <c:v>33.619600000000858</c:v>
                </c:pt>
                <c:pt idx="713">
                  <c:v>33.619700000000861</c:v>
                </c:pt>
                <c:pt idx="714">
                  <c:v>33.619800000000865</c:v>
                </c:pt>
                <c:pt idx="715">
                  <c:v>33.619900000000868</c:v>
                </c:pt>
                <c:pt idx="716">
                  <c:v>33.620000000000871</c:v>
                </c:pt>
                <c:pt idx="717">
                  <c:v>33.620100000000875</c:v>
                </c:pt>
                <c:pt idx="718">
                  <c:v>33.620200000000878</c:v>
                </c:pt>
                <c:pt idx="719">
                  <c:v>33.620300000000881</c:v>
                </c:pt>
                <c:pt idx="720">
                  <c:v>33.620400000000885</c:v>
                </c:pt>
                <c:pt idx="721">
                  <c:v>33.620500000000888</c:v>
                </c:pt>
                <c:pt idx="722">
                  <c:v>33.620600000000891</c:v>
                </c:pt>
                <c:pt idx="723">
                  <c:v>33.620700000000895</c:v>
                </c:pt>
                <c:pt idx="724">
                  <c:v>33.620800000000898</c:v>
                </c:pt>
                <c:pt idx="725">
                  <c:v>33.620900000000901</c:v>
                </c:pt>
                <c:pt idx="726">
                  <c:v>33.621000000000905</c:v>
                </c:pt>
                <c:pt idx="727">
                  <c:v>33.621100000000908</c:v>
                </c:pt>
                <c:pt idx="728">
                  <c:v>33.621200000000911</c:v>
                </c:pt>
                <c:pt idx="729">
                  <c:v>33.621300000000915</c:v>
                </c:pt>
                <c:pt idx="730">
                  <c:v>33.621400000000918</c:v>
                </c:pt>
                <c:pt idx="731">
                  <c:v>33.621500000000921</c:v>
                </c:pt>
                <c:pt idx="732">
                  <c:v>33.621600000000925</c:v>
                </c:pt>
                <c:pt idx="733">
                  <c:v>33.621700000000928</c:v>
                </c:pt>
                <c:pt idx="734">
                  <c:v>33.621800000000931</c:v>
                </c:pt>
                <c:pt idx="735">
                  <c:v>33.621900000000934</c:v>
                </c:pt>
                <c:pt idx="736">
                  <c:v>33.622000000000938</c:v>
                </c:pt>
                <c:pt idx="737">
                  <c:v>33.622100000000941</c:v>
                </c:pt>
                <c:pt idx="738">
                  <c:v>33.622200000000944</c:v>
                </c:pt>
                <c:pt idx="739">
                  <c:v>33.622300000000948</c:v>
                </c:pt>
                <c:pt idx="740">
                  <c:v>33.622400000000951</c:v>
                </c:pt>
                <c:pt idx="741">
                  <c:v>33.622500000000954</c:v>
                </c:pt>
                <c:pt idx="742">
                  <c:v>33.622600000000958</c:v>
                </c:pt>
                <c:pt idx="743">
                  <c:v>33.622700000000961</c:v>
                </c:pt>
                <c:pt idx="744">
                  <c:v>33.622800000000964</c:v>
                </c:pt>
                <c:pt idx="745">
                  <c:v>33.622900000000968</c:v>
                </c:pt>
                <c:pt idx="746">
                  <c:v>33.623000000000971</c:v>
                </c:pt>
                <c:pt idx="747">
                  <c:v>33.623100000000974</c:v>
                </c:pt>
                <c:pt idx="748">
                  <c:v>33.623200000000978</c:v>
                </c:pt>
                <c:pt idx="749">
                  <c:v>33.623300000000981</c:v>
                </c:pt>
                <c:pt idx="750">
                  <c:v>33.623400000000984</c:v>
                </c:pt>
                <c:pt idx="751">
                  <c:v>33.623500000000988</c:v>
                </c:pt>
                <c:pt idx="752">
                  <c:v>33.623600000000991</c:v>
                </c:pt>
                <c:pt idx="753">
                  <c:v>33.623700000000994</c:v>
                </c:pt>
                <c:pt idx="754">
                  <c:v>33.623800000000998</c:v>
                </c:pt>
                <c:pt idx="755">
                  <c:v>33.623900000001001</c:v>
                </c:pt>
                <c:pt idx="756">
                  <c:v>33.624000000001004</c:v>
                </c:pt>
                <c:pt idx="757">
                  <c:v>33.624100000001008</c:v>
                </c:pt>
                <c:pt idx="758">
                  <c:v>33.624200000001011</c:v>
                </c:pt>
                <c:pt idx="759">
                  <c:v>33.624300000001014</c:v>
                </c:pt>
                <c:pt idx="760">
                  <c:v>33.624400000001017</c:v>
                </c:pt>
                <c:pt idx="761">
                  <c:v>33.624500000001021</c:v>
                </c:pt>
                <c:pt idx="762">
                  <c:v>33.624600000001024</c:v>
                </c:pt>
                <c:pt idx="763">
                  <c:v>33.624700000001027</c:v>
                </c:pt>
                <c:pt idx="764">
                  <c:v>33.624800000001031</c:v>
                </c:pt>
                <c:pt idx="765">
                  <c:v>33.624900000001034</c:v>
                </c:pt>
                <c:pt idx="766">
                  <c:v>33.625000000001037</c:v>
                </c:pt>
                <c:pt idx="767">
                  <c:v>33.625100000001041</c:v>
                </c:pt>
                <c:pt idx="768">
                  <c:v>33.625200000001044</c:v>
                </c:pt>
                <c:pt idx="769">
                  <c:v>33.625300000001047</c:v>
                </c:pt>
                <c:pt idx="770">
                  <c:v>33.625400000001051</c:v>
                </c:pt>
                <c:pt idx="771">
                  <c:v>33.625500000001054</c:v>
                </c:pt>
                <c:pt idx="772">
                  <c:v>33.625600000001057</c:v>
                </c:pt>
                <c:pt idx="773">
                  <c:v>33.625700000001061</c:v>
                </c:pt>
                <c:pt idx="774">
                  <c:v>33.625800000001064</c:v>
                </c:pt>
                <c:pt idx="775">
                  <c:v>33.625900000001067</c:v>
                </c:pt>
                <c:pt idx="776">
                  <c:v>33.626000000001071</c:v>
                </c:pt>
                <c:pt idx="777">
                  <c:v>33.626100000001074</c:v>
                </c:pt>
                <c:pt idx="778">
                  <c:v>33.626200000001077</c:v>
                </c:pt>
                <c:pt idx="779">
                  <c:v>33.626300000001081</c:v>
                </c:pt>
                <c:pt idx="780">
                  <c:v>33.626400000001084</c:v>
                </c:pt>
                <c:pt idx="781">
                  <c:v>33.626500000001087</c:v>
                </c:pt>
                <c:pt idx="782">
                  <c:v>33.626600000001091</c:v>
                </c:pt>
                <c:pt idx="783">
                  <c:v>33.626700000001094</c:v>
                </c:pt>
                <c:pt idx="784">
                  <c:v>33.626800000001097</c:v>
                </c:pt>
                <c:pt idx="785">
                  <c:v>33.6269000000011</c:v>
                </c:pt>
                <c:pt idx="786">
                  <c:v>33.627000000001104</c:v>
                </c:pt>
                <c:pt idx="787">
                  <c:v>33.627100000001107</c:v>
                </c:pt>
                <c:pt idx="788">
                  <c:v>33.62720000000111</c:v>
                </c:pt>
                <c:pt idx="789">
                  <c:v>33.627300000001114</c:v>
                </c:pt>
                <c:pt idx="790">
                  <c:v>33.627400000001117</c:v>
                </c:pt>
                <c:pt idx="791">
                  <c:v>33.62750000000112</c:v>
                </c:pt>
                <c:pt idx="792">
                  <c:v>33.627600000001124</c:v>
                </c:pt>
                <c:pt idx="793">
                  <c:v>33.627700000001127</c:v>
                </c:pt>
                <c:pt idx="794">
                  <c:v>33.62780000000113</c:v>
                </c:pt>
                <c:pt idx="795">
                  <c:v>33.627900000001134</c:v>
                </c:pt>
                <c:pt idx="796">
                  <c:v>33.628000000001137</c:v>
                </c:pt>
                <c:pt idx="797">
                  <c:v>33.62810000000114</c:v>
                </c:pt>
                <c:pt idx="798">
                  <c:v>33.628200000001144</c:v>
                </c:pt>
                <c:pt idx="799">
                  <c:v>33.628300000001147</c:v>
                </c:pt>
                <c:pt idx="800">
                  <c:v>33.62840000000115</c:v>
                </c:pt>
                <c:pt idx="801">
                  <c:v>33.628500000001154</c:v>
                </c:pt>
                <c:pt idx="802">
                  <c:v>33.628600000001157</c:v>
                </c:pt>
                <c:pt idx="803">
                  <c:v>33.62870000000116</c:v>
                </c:pt>
                <c:pt idx="804">
                  <c:v>33.628800000001164</c:v>
                </c:pt>
                <c:pt idx="805">
                  <c:v>33.628900000001167</c:v>
                </c:pt>
                <c:pt idx="806">
                  <c:v>33.62900000000117</c:v>
                </c:pt>
                <c:pt idx="807">
                  <c:v>33.629100000001173</c:v>
                </c:pt>
                <c:pt idx="808">
                  <c:v>33.629200000001177</c:v>
                </c:pt>
                <c:pt idx="809">
                  <c:v>33.62930000000118</c:v>
                </c:pt>
                <c:pt idx="810">
                  <c:v>33.629400000001183</c:v>
                </c:pt>
                <c:pt idx="811">
                  <c:v>33.629500000001187</c:v>
                </c:pt>
                <c:pt idx="812">
                  <c:v>33.62960000000119</c:v>
                </c:pt>
                <c:pt idx="813">
                  <c:v>33.629700000001193</c:v>
                </c:pt>
                <c:pt idx="814">
                  <c:v>33.629800000001197</c:v>
                </c:pt>
                <c:pt idx="815">
                  <c:v>33.6299000000012</c:v>
                </c:pt>
                <c:pt idx="816">
                  <c:v>33.630000000001203</c:v>
                </c:pt>
                <c:pt idx="817">
                  <c:v>33.630100000001207</c:v>
                </c:pt>
                <c:pt idx="818">
                  <c:v>33.63020000000121</c:v>
                </c:pt>
                <c:pt idx="819">
                  <c:v>33.630300000001213</c:v>
                </c:pt>
                <c:pt idx="820">
                  <c:v>33.630400000001217</c:v>
                </c:pt>
                <c:pt idx="821">
                  <c:v>33.63050000000122</c:v>
                </c:pt>
                <c:pt idx="822">
                  <c:v>33.630600000001223</c:v>
                </c:pt>
                <c:pt idx="823">
                  <c:v>33.630700000001227</c:v>
                </c:pt>
                <c:pt idx="824">
                  <c:v>33.63080000000123</c:v>
                </c:pt>
                <c:pt idx="825">
                  <c:v>33.630900000001233</c:v>
                </c:pt>
                <c:pt idx="826">
                  <c:v>33.631000000001237</c:v>
                </c:pt>
                <c:pt idx="827">
                  <c:v>33.63110000000124</c:v>
                </c:pt>
                <c:pt idx="828">
                  <c:v>33.631200000001243</c:v>
                </c:pt>
                <c:pt idx="829">
                  <c:v>33.631300000001247</c:v>
                </c:pt>
                <c:pt idx="830">
                  <c:v>33.63140000000125</c:v>
                </c:pt>
                <c:pt idx="831">
                  <c:v>33.631500000001253</c:v>
                </c:pt>
                <c:pt idx="832">
                  <c:v>33.631600000001256</c:v>
                </c:pt>
                <c:pt idx="833">
                  <c:v>33.63170000000126</c:v>
                </c:pt>
                <c:pt idx="834">
                  <c:v>33.631800000001263</c:v>
                </c:pt>
                <c:pt idx="835">
                  <c:v>33.631900000001266</c:v>
                </c:pt>
                <c:pt idx="836">
                  <c:v>33.63200000000127</c:v>
                </c:pt>
                <c:pt idx="837">
                  <c:v>33.632100000001273</c:v>
                </c:pt>
                <c:pt idx="838">
                  <c:v>33.632200000001276</c:v>
                </c:pt>
                <c:pt idx="839">
                  <c:v>33.63230000000128</c:v>
                </c:pt>
                <c:pt idx="840">
                  <c:v>33.632400000001283</c:v>
                </c:pt>
                <c:pt idx="841">
                  <c:v>33.632500000001286</c:v>
                </c:pt>
                <c:pt idx="842">
                  <c:v>33.63260000000129</c:v>
                </c:pt>
                <c:pt idx="843">
                  <c:v>33.632700000001293</c:v>
                </c:pt>
                <c:pt idx="844">
                  <c:v>33.632800000001296</c:v>
                </c:pt>
                <c:pt idx="845">
                  <c:v>33.6329000000013</c:v>
                </c:pt>
                <c:pt idx="846">
                  <c:v>33.633000000001303</c:v>
                </c:pt>
                <c:pt idx="847">
                  <c:v>33.633100000001306</c:v>
                </c:pt>
                <c:pt idx="848">
                  <c:v>33.63320000000131</c:v>
                </c:pt>
                <c:pt idx="849">
                  <c:v>33.633300000001313</c:v>
                </c:pt>
                <c:pt idx="850">
                  <c:v>33.633400000001316</c:v>
                </c:pt>
                <c:pt idx="851">
                  <c:v>33.63350000000132</c:v>
                </c:pt>
                <c:pt idx="852">
                  <c:v>33.633600000001323</c:v>
                </c:pt>
                <c:pt idx="853">
                  <c:v>33.633700000001326</c:v>
                </c:pt>
                <c:pt idx="854">
                  <c:v>33.63380000000133</c:v>
                </c:pt>
                <c:pt idx="855">
                  <c:v>33.633900000001333</c:v>
                </c:pt>
                <c:pt idx="856">
                  <c:v>33.634000000001336</c:v>
                </c:pt>
                <c:pt idx="857">
                  <c:v>33.634100000001339</c:v>
                </c:pt>
                <c:pt idx="858">
                  <c:v>33.634200000001343</c:v>
                </c:pt>
                <c:pt idx="859">
                  <c:v>33.634300000001346</c:v>
                </c:pt>
                <c:pt idx="860">
                  <c:v>33.634400000001349</c:v>
                </c:pt>
                <c:pt idx="861">
                  <c:v>33.634500000001353</c:v>
                </c:pt>
                <c:pt idx="862">
                  <c:v>33.634600000001356</c:v>
                </c:pt>
                <c:pt idx="863">
                  <c:v>33.634700000001359</c:v>
                </c:pt>
                <c:pt idx="864">
                  <c:v>33.634800000001363</c:v>
                </c:pt>
                <c:pt idx="865">
                  <c:v>33.634900000001366</c:v>
                </c:pt>
                <c:pt idx="866">
                  <c:v>33.635000000001369</c:v>
                </c:pt>
                <c:pt idx="867">
                  <c:v>33.635100000001373</c:v>
                </c:pt>
                <c:pt idx="868">
                  <c:v>33.635200000001376</c:v>
                </c:pt>
                <c:pt idx="869">
                  <c:v>33.635300000001379</c:v>
                </c:pt>
                <c:pt idx="870">
                  <c:v>33.635400000001383</c:v>
                </c:pt>
                <c:pt idx="871">
                  <c:v>33.635500000001386</c:v>
                </c:pt>
                <c:pt idx="872">
                  <c:v>33.635600000001389</c:v>
                </c:pt>
                <c:pt idx="873">
                  <c:v>33.635700000001393</c:v>
                </c:pt>
                <c:pt idx="874">
                  <c:v>33.635800000001396</c:v>
                </c:pt>
                <c:pt idx="875">
                  <c:v>33.635900000001399</c:v>
                </c:pt>
                <c:pt idx="876">
                  <c:v>33.636000000001403</c:v>
                </c:pt>
                <c:pt idx="877">
                  <c:v>33.636100000001406</c:v>
                </c:pt>
                <c:pt idx="878">
                  <c:v>33.636200000001409</c:v>
                </c:pt>
                <c:pt idx="879">
                  <c:v>33.636300000001413</c:v>
                </c:pt>
                <c:pt idx="880">
                  <c:v>33.636400000001416</c:v>
                </c:pt>
                <c:pt idx="881">
                  <c:v>33.636500000001419</c:v>
                </c:pt>
                <c:pt idx="882">
                  <c:v>33.636600000001422</c:v>
                </c:pt>
                <c:pt idx="883">
                  <c:v>33.636700000001426</c:v>
                </c:pt>
                <c:pt idx="884">
                  <c:v>33.636800000001429</c:v>
                </c:pt>
                <c:pt idx="885">
                  <c:v>33.636900000001432</c:v>
                </c:pt>
                <c:pt idx="886">
                  <c:v>33.637000000001436</c:v>
                </c:pt>
                <c:pt idx="887">
                  <c:v>33.637100000001439</c:v>
                </c:pt>
                <c:pt idx="888">
                  <c:v>33.637200000001442</c:v>
                </c:pt>
                <c:pt idx="889">
                  <c:v>33.637300000001446</c:v>
                </c:pt>
                <c:pt idx="890">
                  <c:v>33.637400000001449</c:v>
                </c:pt>
                <c:pt idx="891">
                  <c:v>33.637500000001452</c:v>
                </c:pt>
                <c:pt idx="892">
                  <c:v>33.637600000001456</c:v>
                </c:pt>
                <c:pt idx="893">
                  <c:v>33.637700000001459</c:v>
                </c:pt>
                <c:pt idx="894">
                  <c:v>33.637800000001462</c:v>
                </c:pt>
                <c:pt idx="895">
                  <c:v>33.637900000001466</c:v>
                </c:pt>
                <c:pt idx="896">
                  <c:v>33.638000000001469</c:v>
                </c:pt>
                <c:pt idx="897">
                  <c:v>33.638100000001472</c:v>
                </c:pt>
                <c:pt idx="898">
                  <c:v>33.638200000001476</c:v>
                </c:pt>
                <c:pt idx="899">
                  <c:v>33.638300000001479</c:v>
                </c:pt>
                <c:pt idx="900">
                  <c:v>33.638400000001482</c:v>
                </c:pt>
                <c:pt idx="901">
                  <c:v>33.638500000001486</c:v>
                </c:pt>
                <c:pt idx="902">
                  <c:v>33.638600000001489</c:v>
                </c:pt>
                <c:pt idx="903">
                  <c:v>33.638700000001492</c:v>
                </c:pt>
                <c:pt idx="904">
                  <c:v>33.638800000001496</c:v>
                </c:pt>
                <c:pt idx="905">
                  <c:v>33.638900000001499</c:v>
                </c:pt>
                <c:pt idx="906">
                  <c:v>33.639000000001502</c:v>
                </c:pt>
                <c:pt idx="907">
                  <c:v>33.639100000001505</c:v>
                </c:pt>
                <c:pt idx="908">
                  <c:v>33.639200000001509</c:v>
                </c:pt>
                <c:pt idx="909">
                  <c:v>33.639300000001512</c:v>
                </c:pt>
                <c:pt idx="910">
                  <c:v>33.639400000001515</c:v>
                </c:pt>
                <c:pt idx="911">
                  <c:v>33.639500000001519</c:v>
                </c:pt>
                <c:pt idx="912">
                  <c:v>33.639600000001522</c:v>
                </c:pt>
                <c:pt idx="913">
                  <c:v>33.639700000001525</c:v>
                </c:pt>
                <c:pt idx="914">
                  <c:v>33.639800000001529</c:v>
                </c:pt>
                <c:pt idx="915">
                  <c:v>33.639900000001532</c:v>
                </c:pt>
                <c:pt idx="916">
                  <c:v>33.640000000001535</c:v>
                </c:pt>
                <c:pt idx="917">
                  <c:v>33.640100000001539</c:v>
                </c:pt>
                <c:pt idx="918">
                  <c:v>33.640200000001542</c:v>
                </c:pt>
                <c:pt idx="919">
                  <c:v>33.640300000001545</c:v>
                </c:pt>
                <c:pt idx="920">
                  <c:v>33.640400000001549</c:v>
                </c:pt>
                <c:pt idx="921">
                  <c:v>33.640500000001552</c:v>
                </c:pt>
                <c:pt idx="922">
                  <c:v>33.640600000001555</c:v>
                </c:pt>
                <c:pt idx="923">
                  <c:v>33.640700000001559</c:v>
                </c:pt>
                <c:pt idx="924">
                  <c:v>33.640800000001562</c:v>
                </c:pt>
                <c:pt idx="925">
                  <c:v>33.640900000001565</c:v>
                </c:pt>
                <c:pt idx="926">
                  <c:v>33.641000000001569</c:v>
                </c:pt>
                <c:pt idx="927">
                  <c:v>33.641100000001572</c:v>
                </c:pt>
                <c:pt idx="928">
                  <c:v>33.641200000001575</c:v>
                </c:pt>
                <c:pt idx="929">
                  <c:v>33.641300000001578</c:v>
                </c:pt>
                <c:pt idx="930">
                  <c:v>33.641400000001582</c:v>
                </c:pt>
                <c:pt idx="931">
                  <c:v>33.641500000001585</c:v>
                </c:pt>
                <c:pt idx="932">
                  <c:v>33.641600000001588</c:v>
                </c:pt>
                <c:pt idx="933">
                  <c:v>33.641700000001592</c:v>
                </c:pt>
                <c:pt idx="934">
                  <c:v>33.641800000001595</c:v>
                </c:pt>
                <c:pt idx="935">
                  <c:v>33.641900000001598</c:v>
                </c:pt>
                <c:pt idx="936">
                  <c:v>33.642000000001602</c:v>
                </c:pt>
                <c:pt idx="937">
                  <c:v>33.642100000001605</c:v>
                </c:pt>
                <c:pt idx="938">
                  <c:v>33.642200000001608</c:v>
                </c:pt>
                <c:pt idx="939">
                  <c:v>33.642300000001612</c:v>
                </c:pt>
                <c:pt idx="940">
                  <c:v>33.642400000001615</c:v>
                </c:pt>
                <c:pt idx="941">
                  <c:v>33.642500000001618</c:v>
                </c:pt>
                <c:pt idx="942">
                  <c:v>33.642600000001622</c:v>
                </c:pt>
                <c:pt idx="943">
                  <c:v>33.642700000001625</c:v>
                </c:pt>
                <c:pt idx="944">
                  <c:v>33.642800000001628</c:v>
                </c:pt>
                <c:pt idx="945">
                  <c:v>33.642900000001632</c:v>
                </c:pt>
                <c:pt idx="946">
                  <c:v>33.643000000001635</c:v>
                </c:pt>
                <c:pt idx="947">
                  <c:v>33.643100000001638</c:v>
                </c:pt>
                <c:pt idx="948">
                  <c:v>33.643200000001642</c:v>
                </c:pt>
                <c:pt idx="949">
                  <c:v>33.643300000001645</c:v>
                </c:pt>
                <c:pt idx="950">
                  <c:v>33.643400000001648</c:v>
                </c:pt>
                <c:pt idx="951">
                  <c:v>33.643500000001652</c:v>
                </c:pt>
                <c:pt idx="952">
                  <c:v>33.643600000001655</c:v>
                </c:pt>
                <c:pt idx="953">
                  <c:v>33.643700000001658</c:v>
                </c:pt>
                <c:pt idx="954">
                  <c:v>33.643800000001661</c:v>
                </c:pt>
                <c:pt idx="955">
                  <c:v>33.643900000001665</c:v>
                </c:pt>
                <c:pt idx="956">
                  <c:v>33.644000000001668</c:v>
                </c:pt>
                <c:pt idx="957">
                  <c:v>33.644100000001671</c:v>
                </c:pt>
                <c:pt idx="958">
                  <c:v>33.644200000001675</c:v>
                </c:pt>
                <c:pt idx="959">
                  <c:v>33.644300000001678</c:v>
                </c:pt>
                <c:pt idx="960">
                  <c:v>33.644400000001681</c:v>
                </c:pt>
                <c:pt idx="961">
                  <c:v>33.644500000001685</c:v>
                </c:pt>
                <c:pt idx="962">
                  <c:v>33.644600000001688</c:v>
                </c:pt>
                <c:pt idx="963">
                  <c:v>33.644700000001691</c:v>
                </c:pt>
                <c:pt idx="964">
                  <c:v>33.644800000001695</c:v>
                </c:pt>
                <c:pt idx="965">
                  <c:v>33.644900000001698</c:v>
                </c:pt>
                <c:pt idx="966">
                  <c:v>33.645000000001701</c:v>
                </c:pt>
                <c:pt idx="967">
                  <c:v>33.645100000001705</c:v>
                </c:pt>
                <c:pt idx="968">
                  <c:v>33.645200000001708</c:v>
                </c:pt>
                <c:pt idx="969">
                  <c:v>33.645300000001711</c:v>
                </c:pt>
                <c:pt idx="970">
                  <c:v>33.645400000001715</c:v>
                </c:pt>
                <c:pt idx="971">
                  <c:v>33.645500000001718</c:v>
                </c:pt>
                <c:pt idx="972">
                  <c:v>33.645600000001721</c:v>
                </c:pt>
                <c:pt idx="973">
                  <c:v>33.645700000001725</c:v>
                </c:pt>
                <c:pt idx="974">
                  <c:v>33.645800000001728</c:v>
                </c:pt>
                <c:pt idx="975">
                  <c:v>33.645900000001731</c:v>
                </c:pt>
                <c:pt idx="976">
                  <c:v>33.646000000001735</c:v>
                </c:pt>
                <c:pt idx="977">
                  <c:v>33.646100000001738</c:v>
                </c:pt>
                <c:pt idx="978">
                  <c:v>33.646200000001741</c:v>
                </c:pt>
                <c:pt idx="979">
                  <c:v>33.646300000001744</c:v>
                </c:pt>
                <c:pt idx="980">
                  <c:v>33.646400000001748</c:v>
                </c:pt>
                <c:pt idx="981">
                  <c:v>33.646500000001751</c:v>
                </c:pt>
                <c:pt idx="982">
                  <c:v>33.646600000001754</c:v>
                </c:pt>
                <c:pt idx="983">
                  <c:v>33.646700000001758</c:v>
                </c:pt>
                <c:pt idx="984">
                  <c:v>33.646800000001761</c:v>
                </c:pt>
                <c:pt idx="985">
                  <c:v>33.646900000001764</c:v>
                </c:pt>
                <c:pt idx="986">
                  <c:v>33.647000000001768</c:v>
                </c:pt>
                <c:pt idx="987">
                  <c:v>33.647100000001771</c:v>
                </c:pt>
                <c:pt idx="988">
                  <c:v>33.647200000001774</c:v>
                </c:pt>
                <c:pt idx="989">
                  <c:v>33.647300000001778</c:v>
                </c:pt>
                <c:pt idx="990">
                  <c:v>33.647400000001781</c:v>
                </c:pt>
                <c:pt idx="991">
                  <c:v>33.647500000001784</c:v>
                </c:pt>
                <c:pt idx="992">
                  <c:v>33.647600000001788</c:v>
                </c:pt>
                <c:pt idx="993">
                  <c:v>33.647700000001791</c:v>
                </c:pt>
                <c:pt idx="994">
                  <c:v>33.647800000001794</c:v>
                </c:pt>
                <c:pt idx="995">
                  <c:v>33.647900000001798</c:v>
                </c:pt>
                <c:pt idx="996">
                  <c:v>33.648000000001801</c:v>
                </c:pt>
                <c:pt idx="997">
                  <c:v>33.648100000001804</c:v>
                </c:pt>
                <c:pt idx="998">
                  <c:v>33.648200000001808</c:v>
                </c:pt>
                <c:pt idx="999">
                  <c:v>33.648300000001811</c:v>
                </c:pt>
                <c:pt idx="1000">
                  <c:v>33.648400000001814</c:v>
                </c:pt>
              </c:numCache>
            </c:numRef>
          </c:xVal>
          <c:yVal>
            <c:numRef>
              <c:f>Calculs!$J$4:$J$1004</c:f>
              <c:numCache>
                <c:formatCode>0.00</c:formatCode>
                <c:ptCount val="1001"/>
                <c:pt idx="0">
                  <c:v>0</c:v>
                </c:pt>
                <c:pt idx="1">
                  <c:v>1.5466682646042036E-4</c:v>
                </c:pt>
                <c:pt idx="2">
                  <c:v>1.2827765753580481E-3</c:v>
                </c:pt>
                <c:pt idx="3">
                  <c:v>4.4531509330487957E-3</c:v>
                </c:pt>
                <c:pt idx="4">
                  <c:v>1.0028219662065109E-2</c:v>
                </c:pt>
                <c:pt idx="5">
                  <c:v>1.7923312814990607E-2</c:v>
                </c:pt>
                <c:pt idx="6">
                  <c:v>2.8079428219716103E-2</c:v>
                </c:pt>
                <c:pt idx="7">
                  <c:v>4.0489179643795947E-2</c:v>
                </c:pt>
                <c:pt idx="8">
                  <c:v>5.517102913582754E-2</c:v>
                </c:pt>
                <c:pt idx="9">
                  <c:v>7.2143448070533217E-2</c:v>
                </c:pt>
                <c:pt idx="10">
                  <c:v>9.1424916775907347E-2</c:v>
                </c:pt>
                <c:pt idx="11">
                  <c:v>0.11303123865041255</c:v>
                </c:pt>
                <c:pt idx="12">
                  <c:v>0.13697284691545319</c:v>
                </c:pt>
                <c:pt idx="13">
                  <c:v>0.1632574788862903</c:v>
                </c:pt>
                <c:pt idx="14">
                  <c:v>0.19189285766067149</c:v>
                </c:pt>
                <c:pt idx="15">
                  <c:v>0.22288669184838061</c:v>
                </c:pt>
                <c:pt idx="16">
                  <c:v>0.25624667529992717</c:v>
                </c:pt>
                <c:pt idx="17">
                  <c:v>0.2919804868343952</c:v>
                </c:pt>
                <c:pt idx="18">
                  <c:v>0.33009578996647226</c:v>
                </c:pt>
                <c:pt idx="19">
                  <c:v>0.37060023263267883</c:v>
                </c:pt>
                <c:pt idx="20">
                  <c:v>0.41350144691681856</c:v>
                </c:pt>
                <c:pt idx="21">
                  <c:v>0.45880597072539658</c:v>
                </c:pt>
                <c:pt idx="22">
                  <c:v>0.50651816656771187</c:v>
                </c:pt>
                <c:pt idx="23">
                  <c:v>0.55664129515600402</c:v>
                </c:pt>
                <c:pt idx="24">
                  <c:v>0.60917859195685786</c:v>
                </c:pt>
                <c:pt idx="25">
                  <c:v>0.66413326702857223</c:v>
                </c:pt>
                <c:pt idx="26">
                  <c:v>0.7215085048594142</c:v>
                </c:pt>
                <c:pt idx="27">
                  <c:v>0.78139140642099358</c:v>
                </c:pt>
                <c:pt idx="28">
                  <c:v>0.84387255236072967</c:v>
                </c:pt>
                <c:pt idx="29">
                  <c:v>0.90896200491883627</c:v>
                </c:pt>
                <c:pt idx="30">
                  <c:v>0.97666963368661031</c:v>
                </c:pt>
                <c:pt idx="31">
                  <c:v>1.0470050679452119</c:v>
                </c:pt>
                <c:pt idx="32">
                  <c:v>1.119977710791314</c:v>
                </c:pt>
                <c:pt idx="33">
                  <c:v>1.1955967518550412</c:v>
                </c:pt>
                <c:pt idx="34">
                  <c:v>1.2738711787892512</c:v>
                </c:pt>
                <c:pt idx="35">
                  <c:v>1.3548097876816083</c:v>
                </c:pt>
                <c:pt idx="36">
                  <c:v>1.4384211925182515</c:v>
                </c:pt>
                <c:pt idx="37">
                  <c:v>1.524713833809163</c:v>
                </c:pt>
                <c:pt idx="38">
                  <c:v>1.6136959864698202</c:v>
                </c:pt>
                <c:pt idx="39">
                  <c:v>1.7053757670407457</c:v>
                </c:pt>
                <c:pt idx="40">
                  <c:v>1.7997611403156846</c:v>
                </c:pt>
                <c:pt idx="41">
                  <c:v>1.8968590590117396</c:v>
                </c:pt>
                <c:pt idx="42">
                  <c:v>1.9966745962693704</c:v>
                </c:pt>
                <c:pt idx="43">
                  <c:v>2.0992118084816891</c:v>
                </c:pt>
                <c:pt idx="44">
                  <c:v>2.2044746047471295</c:v>
                </c:pt>
                <c:pt idx="45">
                  <c:v>2.3124667519378357</c:v>
                </c:pt>
                <c:pt idx="46">
                  <c:v>2.4231918794114309</c:v>
                </c:pt>
                <c:pt idx="47">
                  <c:v>2.5366534833990433</c:v>
                </c:pt>
                <c:pt idx="48">
                  <c:v>2.6528549310987781</c:v>
                </c:pt>
                <c:pt idx="49">
                  <c:v>2.7717994645006239</c:v>
                </c:pt>
                <c:pt idx="50">
                  <c:v>2.8934902039660022</c:v>
                </c:pt>
                <c:pt idx="51">
                  <c:v>3.0179301515827279</c:v>
                </c:pt>
                <c:pt idx="52">
                  <c:v>3.1451221943140175</c:v>
                </c:pt>
                <c:pt idx="53">
                  <c:v>3.2750691069583064</c:v>
                </c:pt>
                <c:pt idx="54">
                  <c:v>3.4077735549349826</c:v>
                </c:pt>
                <c:pt idx="55">
                  <c:v>3.5432380969096831</c:v>
                </c:pt>
                <c:pt idx="56">
                  <c:v>3.681465187271503</c:v>
                </c:pt>
                <c:pt idx="57">
                  <c:v>3.8224571784733232</c:v>
                </c:pt>
                <c:pt idx="58">
                  <c:v>3.9662163232454315</c:v>
                </c:pt>
                <c:pt idx="59">
                  <c:v>4.112744776691704</c:v>
                </c:pt>
                <c:pt idx="60">
                  <c:v>4.2620445982767983</c:v>
                </c:pt>
                <c:pt idx="61">
                  <c:v>4.4141177537120688</c:v>
                </c:pt>
                <c:pt idx="62">
                  <c:v>4.5689661167472773</c:v>
                </c:pt>
                <c:pt idx="63">
                  <c:v>4.7265914708745562</c:v>
                </c:pt>
                <c:pt idx="64">
                  <c:v>4.8869955109505678</c:v>
                </c:pt>
                <c:pt idx="65">
                  <c:v>5.0501798447423214</c:v>
                </c:pt>
                <c:pt idx="66">
                  <c:v>5.2161459944016579</c:v>
                </c:pt>
                <c:pt idx="67">
                  <c:v>5.3848953978730485</c:v>
                </c:pt>
                <c:pt idx="68">
                  <c:v>5.5564294102389598</c:v>
                </c:pt>
                <c:pt idx="69">
                  <c:v>5.7307493050067473</c:v>
                </c:pt>
                <c:pt idx="70">
                  <c:v>5.9078562753407189</c:v>
                </c:pt>
                <c:pt idx="71">
                  <c:v>6.0877514352427573</c:v>
                </c:pt>
                <c:pt idx="72">
                  <c:v>6.2704358206846313</c:v>
                </c:pt>
                <c:pt idx="73">
                  <c:v>6.4559103906949096</c:v>
                </c:pt>
                <c:pt idx="74">
                  <c:v>6.6441760284031837</c:v>
                </c:pt>
                <c:pt idx="75">
                  <c:v>6.8352335420441133</c:v>
                </c:pt>
                <c:pt idx="76">
                  <c:v>7.0290836659236424</c:v>
                </c:pt>
                <c:pt idx="77">
                  <c:v>7.2257270613495672</c:v>
                </c:pt>
                <c:pt idx="78">
                  <c:v>7.4251643175284947</c:v>
                </c:pt>
                <c:pt idx="79">
                  <c:v>7.6273959524310975</c:v>
                </c:pt>
                <c:pt idx="80">
                  <c:v>7.832422413627441</c:v>
                </c:pt>
                <c:pt idx="81">
                  <c:v>8.0402431523805014</c:v>
                </c:pt>
                <c:pt idx="82">
                  <c:v>8.2508556935153177</c:v>
                </c:pt>
                <c:pt idx="83">
                  <c:v>8.4642565576086248</c:v>
                </c:pt>
                <c:pt idx="84">
                  <c:v>8.6804421875010895</c:v>
                </c:pt>
                <c:pt idx="85">
                  <c:v>8.899408949300847</c:v>
                </c:pt>
                <c:pt idx="86">
                  <c:v>9.1211531333604228</c:v>
                </c:pt>
                <c:pt idx="87">
                  <c:v>9.34567095522846</c:v>
                </c:pt>
                <c:pt idx="88">
                  <c:v>9.5729585565776087</c:v>
                </c:pt>
                <c:pt idx="89">
                  <c:v>9.8030120061098298</c:v>
                </c:pt>
                <c:pt idx="90">
                  <c:v>10.035827300440305</c:v>
                </c:pt>
                <c:pt idx="91">
                  <c:v>10.271399951776486</c:v>
                </c:pt>
                <c:pt idx="92">
                  <c:v>10.509724573900202</c:v>
                </c:pt>
                <c:pt idx="93">
                  <c:v>10.750795294122707</c:v>
                </c:pt>
                <c:pt idx="94">
                  <c:v>10.994606166963036</c:v>
                </c:pt>
                <c:pt idx="95">
                  <c:v>11.241151175065296</c:v>
                </c:pt>
                <c:pt idx="96">
                  <c:v>11.490424230098485</c:v>
                </c:pt>
                <c:pt idx="97">
                  <c:v>11.742419173639718</c:v>
                </c:pt>
                <c:pt idx="98">
                  <c:v>11.997129778041645</c:v>
                </c:pt>
                <c:pt idx="99">
                  <c:v>12.254549747284823</c:v>
                </c:pt>
                <c:pt idx="100">
                  <c:v>12.514672717815754</c:v>
                </c:pt>
                <c:pt idx="101">
                  <c:v>12.777492192737732</c:v>
                </c:pt>
                <c:pt idx="102">
                  <c:v>13.04300147574609</c:v>
                </c:pt>
                <c:pt idx="103">
                  <c:v>13.311193738272905</c:v>
                </c:pt>
                <c:pt idx="104">
                  <c:v>13.58206208687192</c:v>
                </c:pt>
                <c:pt idx="105">
                  <c:v>13.85559956401316</c:v>
                </c:pt>
                <c:pt idx="106">
                  <c:v>14.131799148866474</c:v>
                </c:pt>
                <c:pt idx="107">
                  <c:v>14.410653758074503</c:v>
                </c:pt>
                <c:pt idx="108">
                  <c:v>14.692156246515493</c:v>
                </c:pt>
                <c:pt idx="109">
                  <c:v>14.976299408056425</c:v>
                </c:pt>
                <c:pt idx="110">
                  <c:v>15.263075976296829</c:v>
                </c:pt>
                <c:pt idx="111">
                  <c:v>15.552479398285012</c:v>
                </c:pt>
                <c:pt idx="112">
                  <c:v>15.844504610752535</c:v>
                </c:pt>
                <c:pt idx="113">
                  <c:v>16.139147270734522</c:v>
                </c:pt>
                <c:pt idx="114">
                  <c:v>16.436402983555578</c:v>
                </c:pt>
                <c:pt idx="115">
                  <c:v>16.736267303334071</c:v>
                </c:pt>
                <c:pt idx="116">
                  <c:v>17.038735733481161</c:v>
                </c:pt>
                <c:pt idx="117">
                  <c:v>17.343803727194747</c:v>
                </c:pt>
                <c:pt idx="118">
                  <c:v>17.651466687948577</c:v>
                </c:pt>
                <c:pt idx="119">
                  <c:v>17.961719969976727</c:v>
                </c:pt>
                <c:pt idx="120">
                  <c:v>18.274558878753584</c:v>
                </c:pt>
                <c:pt idx="121">
                  <c:v>18.589977380436025</c:v>
                </c:pt>
                <c:pt idx="122">
                  <c:v>18.907966807484847</c:v>
                </c:pt>
                <c:pt idx="123">
                  <c:v>19.228517146010393</c:v>
                </c:pt>
                <c:pt idx="124">
                  <c:v>19.551618327092751</c:v>
                </c:pt>
                <c:pt idx="125">
                  <c:v>19.877260227563809</c:v>
                </c:pt>
                <c:pt idx="126">
                  <c:v>20.205432670782745</c:v>
                </c:pt>
                <c:pt idx="127">
                  <c:v>20.536125427405086</c:v>
                </c:pt>
                <c:pt idx="128">
                  <c:v>20.869328216145565</c:v>
                </c:pt>
                <c:pt idx="129">
                  <c:v>21.205030704534902</c:v>
                </c:pt>
                <c:pt idx="130">
                  <c:v>21.543222509670677</c:v>
                </c:pt>
                <c:pt idx="131">
                  <c:v>21.883892858766007</c:v>
                </c:pt>
                <c:pt idx="132">
                  <c:v>22.227030248803541</c:v>
                </c:pt>
                <c:pt idx="133">
                  <c:v>22.572622786562697</c:v>
                </c:pt>
                <c:pt idx="134">
                  <c:v>22.920658529573885</c:v>
                </c:pt>
                <c:pt idx="135">
                  <c:v>23.271125486927964</c:v>
                </c:pt>
                <c:pt idx="136">
                  <c:v>23.624011620079681</c:v>
                </c:pt>
                <c:pt idx="137">
                  <c:v>23.979304843645178</c:v>
                </c:pt>
                <c:pt idx="138">
                  <c:v>24.336993026193664</c:v>
                </c:pt>
                <c:pt idx="139">
                  <c:v>24.697063991033367</c:v>
                </c:pt>
                <c:pt idx="140">
                  <c:v>25.05950551699183</c:v>
                </c:pt>
                <c:pt idx="141">
                  <c:v>25.424301246724202</c:v>
                </c:pt>
                <c:pt idx="142">
                  <c:v>25.791426585732204</c:v>
                </c:pt>
                <c:pt idx="143">
                  <c:v>26.160852787100943</c:v>
                </c:pt>
                <c:pt idx="144">
                  <c:v>26.532551046109923</c:v>
                </c:pt>
                <c:pt idx="145">
                  <c:v>26.906492502169936</c:v>
                </c:pt>
                <c:pt idx="146">
                  <c:v>27.282648240739224</c:v>
                </c:pt>
                <c:pt idx="147">
                  <c:v>27.660989295218975</c:v>
                </c:pt>
                <c:pt idx="148">
                  <c:v>28.041486648828272</c:v>
                </c:pt>
                <c:pt idx="149">
                  <c:v>28.424111236458547</c:v>
                </c:pt>
                <c:pt idx="150">
                  <c:v>28.80883394650764</c:v>
                </c:pt>
                <c:pt idx="151">
                  <c:v>29.195625622693495</c:v>
                </c:pt>
                <c:pt idx="152">
                  <c:v>29.584457065847566</c:v>
                </c:pt>
                <c:pt idx="153">
                  <c:v>29.975299035687971</c:v>
                </c:pt>
                <c:pt idx="154">
                  <c:v>30.368122252572444</c:v>
                </c:pt>
                <c:pt idx="155">
                  <c:v>30.762897399231115</c:v>
                </c:pt>
                <c:pt idx="156">
                  <c:v>31.15957557692801</c:v>
                </c:pt>
                <c:pt idx="157">
                  <c:v>31.558068732611392</c:v>
                </c:pt>
                <c:pt idx="158">
                  <c:v>31.958269191569755</c:v>
                </c:pt>
                <c:pt idx="159">
                  <c:v>32.360069224180066</c:v>
                </c:pt>
                <c:pt idx="160">
                  <c:v>32.763361057674068</c:v>
                </c:pt>
                <c:pt idx="161">
                  <c:v>33.168011973610334</c:v>
                </c:pt>
                <c:pt idx="162">
                  <c:v>33.573839387799282</c:v>
                </c:pt>
                <c:pt idx="163">
                  <c:v>33.980638168332426</c:v>
                </c:pt>
                <c:pt idx="164">
                  <c:v>34.388207983381392</c:v>
                </c:pt>
                <c:pt idx="165">
                  <c:v>34.796374801387309</c:v>
                </c:pt>
                <c:pt idx="166">
                  <c:v>35.205012385849166</c:v>
                </c:pt>
                <c:pt idx="167">
                  <c:v>35.614000288973365</c:v>
                </c:pt>
                <c:pt idx="168">
                  <c:v>36.023194977837335</c:v>
                </c:pt>
                <c:pt idx="169">
                  <c:v>36.432410499023142</c:v>
                </c:pt>
                <c:pt idx="170">
                  <c:v>36.841412331116544</c:v>
                </c:pt>
                <c:pt idx="171">
                  <c:v>37.250036299377363</c:v>
                </c:pt>
                <c:pt idx="172">
                  <c:v>37.65824161807847</c:v>
                </c:pt>
                <c:pt idx="173">
                  <c:v>38.066029424153669</c:v>
                </c:pt>
                <c:pt idx="174">
                  <c:v>38.473400850163571</c:v>
                </c:pt>
                <c:pt idx="175">
                  <c:v>38.880357024318521</c:v>
                </c:pt>
                <c:pt idx="176">
                  <c:v>39.286899070501356</c:v>
                </c:pt>
                <c:pt idx="177">
                  <c:v>39.693028108290036</c:v>
                </c:pt>
                <c:pt idx="178">
                  <c:v>40.098745252980123</c:v>
                </c:pt>
                <c:pt idx="179">
                  <c:v>40.504051615607096</c:v>
                </c:pt>
                <c:pt idx="180">
                  <c:v>40.90894830296854</c:v>
                </c:pt>
                <c:pt idx="181">
                  <c:v>41.31343641764618</c:v>
                </c:pt>
                <c:pt idx="182">
                  <c:v>41.717517058027774</c:v>
                </c:pt>
                <c:pt idx="183">
                  <c:v>42.121191318328869</c:v>
                </c:pt>
                <c:pt idx="184">
                  <c:v>42.524460288614392</c:v>
                </c:pt>
                <c:pt idx="185">
                  <c:v>42.927325054820145</c:v>
                </c:pt>
                <c:pt idx="186">
                  <c:v>43.329786698774122</c:v>
                </c:pt>
                <c:pt idx="187">
                  <c:v>43.73184629821769</c:v>
                </c:pt>
                <c:pt idx="188">
                  <c:v>44.133504926826667</c:v>
                </c:pt>
                <c:pt idx="189">
                  <c:v>44.534763654232222</c:v>
                </c:pt>
                <c:pt idx="190">
                  <c:v>44.935623546041661</c:v>
                </c:pt>
                <c:pt idx="191">
                  <c:v>45.336085663859087</c:v>
                </c:pt>
                <c:pt idx="192">
                  <c:v>45.736151065305918</c:v>
                </c:pt>
                <c:pt idx="193">
                  <c:v>46.135820804041252</c:v>
                </c:pt>
                <c:pt idx="194">
                  <c:v>46.535095929782145</c:v>
                </c:pt>
                <c:pt idx="195">
                  <c:v>46.933977488323727</c:v>
                </c:pt>
                <c:pt idx="196">
                  <c:v>47.332466521559198</c:v>
                </c:pt>
                <c:pt idx="197">
                  <c:v>47.730564067499699</c:v>
                </c:pt>
                <c:pt idx="198">
                  <c:v>48.128271160294055</c:v>
                </c:pt>
                <c:pt idx="199">
                  <c:v>48.525588830248381</c:v>
                </c:pt>
                <c:pt idx="200">
                  <c:v>48.922518103845583</c:v>
                </c:pt>
                <c:pt idx="201">
                  <c:v>52.870528255118991</c:v>
                </c:pt>
                <c:pt idx="202">
                  <c:v>56.780357001974451</c:v>
                </c:pt>
                <c:pt idx="203">
                  <c:v>60.652995839763321</c:v>
                </c:pt>
                <c:pt idx="204">
                  <c:v>64.489400460335077</c:v>
                </c:pt>
                <c:pt idx="205">
                  <c:v>68.290492502825103</c:v>
                </c:pt>
                <c:pt idx="206">
                  <c:v>72.057161198226339</c:v>
                </c:pt>
                <c:pt idx="207">
                  <c:v>75.790264915430214</c:v>
                </c:pt>
                <c:pt idx="208">
                  <c:v>79.490632615778807</c:v>
                </c:pt>
                <c:pt idx="209">
                  <c:v>83.159065222587358</c:v>
                </c:pt>
                <c:pt idx="210">
                  <c:v>86.79633691156809</c:v>
                </c:pt>
                <c:pt idx="211">
                  <c:v>90.403196327607446</c:v>
                </c:pt>
                <c:pt idx="212">
                  <c:v>93.980367732913194</c:v>
                </c:pt>
                <c:pt idx="213">
                  <c:v>97.528552091152335</c:v>
                </c:pt>
                <c:pt idx="214">
                  <c:v>101.04842809183992</c:v>
                </c:pt>
                <c:pt idx="215">
                  <c:v>104.54065311891063</c:v>
                </c:pt>
                <c:pt idx="216">
                  <c:v>108.00586416710466</c:v>
                </c:pt>
                <c:pt idx="217">
                  <c:v>111.44467870952609</c:v>
                </c:pt>
                <c:pt idx="218">
                  <c:v>114.85769551948071</c:v>
                </c:pt>
                <c:pt idx="219">
                  <c:v>118.24549544947166</c:v>
                </c:pt>
                <c:pt idx="220">
                  <c:v>121.60864217002043</c:v>
                </c:pt>
                <c:pt idx="221">
                  <c:v>124.94768287078858</c:v>
                </c:pt>
                <c:pt idx="222">
                  <c:v>128.26314892629827</c:v>
                </c:pt>
                <c:pt idx="223">
                  <c:v>131.55555652838711</c:v>
                </c:pt>
                <c:pt idx="224">
                  <c:v>134.82540728738337</c:v>
                </c:pt>
                <c:pt idx="225">
                  <c:v>138.07318880384986</c:v>
                </c:pt>
                <c:pt idx="226">
                  <c:v>141.29937521261792</c:v>
                </c:pt>
                <c:pt idx="227">
                  <c:v>144.50442770071584</c:v>
                </c:pt>
                <c:pt idx="228">
                  <c:v>147.68879500068826</c:v>
                </c:pt>
                <c:pt idx="229">
                  <c:v>150.85291386070318</c:v>
                </c:pt>
                <c:pt idx="230">
                  <c:v>153.99720949275104</c:v>
                </c:pt>
                <c:pt idx="231">
                  <c:v>157.12209600015493</c:v>
                </c:pt>
                <c:pt idx="232">
                  <c:v>160.22797678553221</c:v>
                </c:pt>
                <c:pt idx="233">
                  <c:v>163.31524494027425</c:v>
                </c:pt>
                <c:pt idx="234">
                  <c:v>166.38428361654334</c:v>
                </c:pt>
                <c:pt idx="235">
                  <c:v>169.43546638272286</c:v>
                </c:pt>
                <c:pt idx="236">
                  <c:v>172.469157563198</c:v>
                </c:pt>
                <c:pt idx="237">
                  <c:v>175.48571256329006</c:v>
                </c:pt>
                <c:pt idx="238">
                  <c:v>178.4854781801171</c:v>
                </c:pt>
                <c:pt idx="239">
                  <c:v>181.4687929001058</c:v>
                </c:pt>
                <c:pt idx="240">
                  <c:v>184.43598718383649</c:v>
                </c:pt>
                <c:pt idx="241">
                  <c:v>187.38738373886162</c:v>
                </c:pt>
                <c:pt idx="242">
                  <c:v>190.32329778110037</c:v>
                </c:pt>
                <c:pt idx="243">
                  <c:v>193.24403728537609</c:v>
                </c:pt>
                <c:pt idx="244">
                  <c:v>196.1499032256304</c:v>
                </c:pt>
                <c:pt idx="245">
                  <c:v>199.04118980531626</c:v>
                </c:pt>
                <c:pt idx="246">
                  <c:v>201.91818467844374</c:v>
                </c:pt>
                <c:pt idx="247">
                  <c:v>204.78116916172453</c:v>
                </c:pt>
                <c:pt idx="248">
                  <c:v>207.63041843823618</c:v>
                </c:pt>
                <c:pt idx="249">
                  <c:v>210.46620175300271</c:v>
                </c:pt>
                <c:pt idx="250">
                  <c:v>213.28878260086654</c:v>
                </c:pt>
                <c:pt idx="251">
                  <c:v>216.09841890700457</c:v>
                </c:pt>
                <c:pt idx="252">
                  <c:v>218.89536320042262</c:v>
                </c:pt>
                <c:pt idx="253">
                  <c:v>221.67986278074312</c:v>
                </c:pt>
                <c:pt idx="254">
                  <c:v>224.45215987858361</c:v>
                </c:pt>
                <c:pt idx="255">
                  <c:v>227.21249180980737</c:v>
                </c:pt>
                <c:pt idx="256">
                  <c:v>229.96109112391161</c:v>
                </c:pt>
                <c:pt idx="257">
                  <c:v>232.69818574680446</c:v>
                </c:pt>
                <c:pt idx="258">
                  <c:v>235.42399911820752</c:v>
                </c:pt>
                <c:pt idx="259">
                  <c:v>238.1387503239084</c:v>
                </c:pt>
                <c:pt idx="260">
                  <c:v>240.84265422307465</c:v>
                </c:pt>
                <c:pt idx="261">
                  <c:v>243.5359215708292</c:v>
                </c:pt>
                <c:pt idx="262">
                  <c:v>246.21875913627591</c:v>
                </c:pt>
                <c:pt idx="263">
                  <c:v>248.89136981615346</c:v>
                </c:pt>
                <c:pt idx="264">
                  <c:v>251.55395274428588</c:v>
                </c:pt>
                <c:pt idx="265">
                  <c:v>254.20670339698805</c:v>
                </c:pt>
                <c:pt idx="266">
                  <c:v>256.8498136945754</c:v>
                </c:pt>
                <c:pt idx="267">
                  <c:v>259.48347209911867</c:v>
                </c:pt>
                <c:pt idx="268">
                  <c:v>262.10786370857539</c:v>
                </c:pt>
                <c:pt idx="269">
                  <c:v>264.72317034742252</c:v>
                </c:pt>
                <c:pt idx="270">
                  <c:v>267.32957065390627</c:v>
                </c:pt>
                <c:pt idx="271">
                  <c:v>269.92724016401752</c:v>
                </c:pt>
                <c:pt idx="272">
                  <c:v>272.5163513922945</c:v>
                </c:pt>
                <c:pt idx="273">
                  <c:v>275.09707390954679</c:v>
                </c:pt>
                <c:pt idx="274">
                  <c:v>277.66957441758791</c:v>
                </c:pt>
                <c:pt idx="275">
                  <c:v>280.23401682105691</c:v>
                </c:pt>
                <c:pt idx="276">
                  <c:v>282.79056229640287</c:v>
                </c:pt>
                <c:pt idx="277">
                  <c:v>285.33936935809908</c:v>
                </c:pt>
                <c:pt idx="278">
                  <c:v>287.88059392214825</c:v>
                </c:pt>
                <c:pt idx="279">
                  <c:v>290.41438936693203</c:v>
                </c:pt>
                <c:pt idx="280">
                  <c:v>292.94090659145286</c:v>
                </c:pt>
                <c:pt idx="281">
                  <c:v>295.46029407100906</c:v>
                </c:pt>
                <c:pt idx="282">
                  <c:v>297.97269791033739</c:v>
                </c:pt>
                <c:pt idx="283">
                  <c:v>300.47826189425103</c:v>
                </c:pt>
                <c:pt idx="284">
                  <c:v>302.97712753579327</c:v>
                </c:pt>
                <c:pt idx="285">
                  <c:v>305.46943412192121</c:v>
                </c:pt>
                <c:pt idx="286">
                  <c:v>307.95531875672532</c:v>
                </c:pt>
                <c:pt idx="287">
                  <c:v>310.43491640218474</c:v>
                </c:pt>
                <c:pt idx="288">
                  <c:v>312.90835991644866</c:v>
                </c:pt>
                <c:pt idx="289">
                  <c:v>315.37578008962794</c:v>
                </c:pt>
                <c:pt idx="290">
                  <c:v>317.83730567707096</c:v>
                </c:pt>
                <c:pt idx="291">
                  <c:v>320.29306343009023</c:v>
                </c:pt>
                <c:pt idx="292">
                  <c:v>322.74317812409652</c:v>
                </c:pt>
                <c:pt idx="293">
                  <c:v>325.18777258408687</c:v>
                </c:pt>
                <c:pt idx="294">
                  <c:v>327.6269677074244</c:v>
                </c:pt>
                <c:pt idx="295">
                  <c:v>330.06088248383475</c:v>
                </c:pt>
                <c:pt idx="296">
                  <c:v>332.48963401253462</c:v>
                </c:pt>
                <c:pt idx="297">
                  <c:v>334.91333751639507</c:v>
                </c:pt>
                <c:pt idx="298">
                  <c:v>337.33210635302959</c:v>
                </c:pt>
                <c:pt idx="299">
                  <c:v>339.74605202268435</c:v>
                </c:pt>
                <c:pt idx="300">
                  <c:v>342.1552841727941</c:v>
                </c:pt>
                <c:pt idx="301">
                  <c:v>344.55991059905296</c:v>
                </c:pt>
                <c:pt idx="302">
                  <c:v>346.96003724283537</c:v>
                </c:pt>
                <c:pt idx="303">
                  <c:v>349.35576818478688</c:v>
                </c:pt>
                <c:pt idx="304">
                  <c:v>351.74720563439007</c:v>
                </c:pt>
                <c:pt idx="305">
                  <c:v>354.13444991529639</c:v>
                </c:pt>
                <c:pt idx="306">
                  <c:v>356.51759944619988</c:v>
                </c:pt>
                <c:pt idx="307">
                  <c:v>358.89675071701669</c:v>
                </c:pt>
                <c:pt idx="308">
                  <c:v>361.27199826012156</c:v>
                </c:pt>
                <c:pt idx="309">
                  <c:v>363.64343461638458</c:v>
                </c:pt>
                <c:pt idx="310">
                  <c:v>366.01115029574453</c:v>
                </c:pt>
                <c:pt idx="311">
                  <c:v>368.37523373205465</c:v>
                </c:pt>
                <c:pt idx="312">
                  <c:v>370.73577123194065</c:v>
                </c:pt>
                <c:pt idx="313">
                  <c:v>373.09284691742266</c:v>
                </c:pt>
                <c:pt idx="314">
                  <c:v>375.44654266207425</c:v>
                </c:pt>
                <c:pt idx="315">
                  <c:v>377.79693802052509</c:v>
                </c:pt>
                <c:pt idx="316">
                  <c:v>380.14411015116002</c:v>
                </c:pt>
                <c:pt idx="317">
                  <c:v>382.48813373193258</c:v>
                </c:pt>
                <c:pt idx="318">
                  <c:v>384.82908086929353</c:v>
                </c:pt>
                <c:pt idx="319">
                  <c:v>387.1670210003428</c:v>
                </c:pt>
                <c:pt idx="320">
                  <c:v>389.50202078844274</c:v>
                </c:pt>
                <c:pt idx="321">
                  <c:v>391.83414401269113</c:v>
                </c:pt>
                <c:pt idx="322">
                  <c:v>394.16345145183834</c:v>
                </c:pt>
                <c:pt idx="323">
                  <c:v>396.49000076344709</c:v>
                </c:pt>
                <c:pt idx="324">
                  <c:v>398.81384635933483</c:v>
                </c:pt>
                <c:pt idx="325">
                  <c:v>401.13503927859875</c:v>
                </c:pt>
                <c:pt idx="326">
                  <c:v>403.45362705979647</c:v>
                </c:pt>
                <c:pt idx="327">
                  <c:v>405.76965361413102</c:v>
                </c:pt>
                <c:pt idx="328">
                  <c:v>408.08315910174838</c:v>
                </c:pt>
                <c:pt idx="329">
                  <c:v>410.39417981348521</c:v>
                </c:pt>
                <c:pt idx="330">
                  <c:v>412.70274806058006</c:v>
                </c:pt>
                <c:pt idx="331">
                  <c:v>415.00889207496419</c:v>
                </c:pt>
                <c:pt idx="332">
                  <c:v>417.31263592275707</c:v>
                </c:pt>
                <c:pt idx="333">
                  <c:v>419.61399943349039</c:v>
                </c:pt>
                <c:pt idx="334">
                  <c:v>421.9129981473655</c:v>
                </c:pt>
                <c:pt idx="335">
                  <c:v>424.20964328250903</c:v>
                </c:pt>
                <c:pt idx="336">
                  <c:v>426.50394172374166</c:v>
                </c:pt>
                <c:pt idx="337">
                  <c:v>428.79589603383602</c:v>
                </c:pt>
                <c:pt idx="338">
                  <c:v>431.08550448763862</c:v>
                </c:pt>
                <c:pt idx="339">
                  <c:v>433.37276112880625</c:v>
                </c:pt>
                <c:pt idx="340">
                  <c:v>435.65765584829677</c:v>
                </c:pt>
                <c:pt idx="341">
                  <c:v>437.94017448319499</c:v>
                </c:pt>
                <c:pt idx="342">
                  <c:v>440.22029893397848</c:v>
                </c:pt>
                <c:pt idx="343">
                  <c:v>442.49800729795987</c:v>
                </c:pt>
                <c:pt idx="344">
                  <c:v>444.77327401639207</c:v>
                </c:pt>
                <c:pt idx="345">
                  <c:v>447.04607003259457</c:v>
                </c:pt>
                <c:pt idx="346">
                  <c:v>449.31636295844669</c:v>
                </c:pt>
                <c:pt idx="347">
                  <c:v>451.58411724667798</c:v>
                </c:pt>
                <c:pt idx="348">
                  <c:v>453.84929436655403</c:v>
                </c:pt>
                <c:pt idx="349">
                  <c:v>456.11185298077987</c:v>
                </c:pt>
                <c:pt idx="350">
                  <c:v>458.3717491217065</c:v>
                </c:pt>
                <c:pt idx="351">
                  <c:v>460.62893636520658</c:v>
                </c:pt>
                <c:pt idx="352">
                  <c:v>462.88336600086808</c:v>
                </c:pt>
                <c:pt idx="353">
                  <c:v>465.13498719742654</c:v>
                </c:pt>
                <c:pt idx="354">
                  <c:v>467.3837471626087</c:v>
                </c:pt>
                <c:pt idx="355">
                  <c:v>469.62959129678649</c:v>
                </c:pt>
                <c:pt idx="356">
                  <c:v>471.87246334003834</c:v>
                </c:pt>
                <c:pt idx="357">
                  <c:v>474.11230551238333</c:v>
                </c:pt>
                <c:pt idx="358">
                  <c:v>476.34905864709339</c:v>
                </c:pt>
                <c:pt idx="359">
                  <c:v>478.58266231710252</c:v>
                </c:pt>
                <c:pt idx="360">
                  <c:v>480.81305495462118</c:v>
                </c:pt>
                <c:pt idx="361">
                  <c:v>483.0401739641328</c:v>
                </c:pt>
                <c:pt idx="362">
                  <c:v>485.26395582900034</c:v>
                </c:pt>
                <c:pt idx="363">
                  <c:v>487.48433621194545</c:v>
                </c:pt>
                <c:pt idx="364">
                  <c:v>489.70125004968651</c:v>
                </c:pt>
                <c:pt idx="365">
                  <c:v>491.91463164203498</c:v>
                </c:pt>
                <c:pt idx="366">
                  <c:v>494.12441473575404</c:v>
                </c:pt>
                <c:pt idx="367">
                  <c:v>496.33053260348311</c:v>
                </c:pt>
                <c:pt idx="368">
                  <c:v>498.53291811802575</c:v>
                </c:pt>
                <c:pt idx="369">
                  <c:v>500.73150382228965</c:v>
                </c:pt>
                <c:pt idx="370">
                  <c:v>502.92622199515517</c:v>
                </c:pt>
                <c:pt idx="371">
                  <c:v>505.11700471353703</c:v>
                </c:pt>
                <c:pt idx="372">
                  <c:v>507.30378391088817</c:v>
                </c:pt>
                <c:pt idx="373">
                  <c:v>509.48649143238146</c:v>
                </c:pt>
                <c:pt idx="374">
                  <c:v>511.6650590869894</c:v>
                </c:pt>
                <c:pt idx="375">
                  <c:v>513.83941869666774</c:v>
                </c:pt>
                <c:pt idx="376">
                  <c:v>516.00950214283523</c:v>
                </c:pt>
                <c:pt idx="377">
                  <c:v>518.1752414103272</c:v>
                </c:pt>
                <c:pt idx="378">
                  <c:v>520.33656862898852</c:v>
                </c:pt>
                <c:pt idx="379">
                  <c:v>522.4934161130592</c:v>
                </c:pt>
                <c:pt idx="380">
                  <c:v>524.64571639849373</c:v>
                </c:pt>
                <c:pt idx="381">
                  <c:v>526.7934022783453</c:v>
                </c:pt>
                <c:pt idx="382">
                  <c:v>528.93640683633521</c:v>
                </c:pt>
                <c:pt idx="383">
                  <c:v>531.07466347871923</c:v>
                </c:pt>
                <c:pt idx="384">
                  <c:v>533.20810596455283</c:v>
                </c:pt>
                <c:pt idx="385">
                  <c:v>535.33666843445098</c:v>
                </c:pt>
                <c:pt idx="386">
                  <c:v>537.46028543792897</c:v>
                </c:pt>
                <c:pt idx="387">
                  <c:v>539.57889195940515</c:v>
                </c:pt>
                <c:pt idx="388">
                  <c:v>541.69242344293912</c:v>
                </c:pt>
                <c:pt idx="389">
                  <c:v>543.80081581577497</c:v>
                </c:pt>
                <c:pt idx="390">
                  <c:v>545.90400551075186</c:v>
                </c:pt>
                <c:pt idx="391">
                  <c:v>548.00192948764038</c:v>
                </c:pt>
                <c:pt idx="392">
                  <c:v>550.09452525345876</c:v>
                </c:pt>
                <c:pt idx="393">
                  <c:v>552.18173088181868</c:v>
                </c:pt>
                <c:pt idx="394">
                  <c:v>554.26348503134693</c:v>
                </c:pt>
                <c:pt idx="395">
                  <c:v>556.33972696322519</c:v>
                </c:pt>
                <c:pt idx="396">
                  <c:v>558.41039655788757</c:v>
                </c:pt>
                <c:pt idx="397">
                  <c:v>560.47543433091334</c:v>
                </c:pt>
                <c:pt idx="398">
                  <c:v>562.53478144814744</c:v>
                </c:pt>
                <c:pt idx="399">
                  <c:v>564.58837974008213</c:v>
                </c:pt>
                <c:pt idx="400">
                  <c:v>566.63617171552778</c:v>
                </c:pt>
                <c:pt idx="401">
                  <c:v>568.67810057460122</c:v>
                </c:pt>
                <c:pt idx="402">
                  <c:v>570.7141102210569</c:v>
                </c:pt>
                <c:pt idx="403">
                  <c:v>572.74414527398483</c:v>
                </c:pt>
                <c:pt idx="404">
                  <c:v>574.76815107889797</c:v>
                </c:pt>
                <c:pt idx="405">
                  <c:v>576.78607371822943</c:v>
                </c:pt>
                <c:pt idx="406">
                  <c:v>578.79786002125991</c:v>
                </c:pt>
                <c:pt idx="407">
                  <c:v>580.80345757349392</c:v>
                </c:pt>
                <c:pt idx="408">
                  <c:v>582.80281472550109</c:v>
                </c:pt>
                <c:pt idx="409">
                  <c:v>584.7958806012407</c:v>
                </c:pt>
                <c:pt idx="410">
                  <c:v>586.7826051058837</c:v>
                </c:pt>
                <c:pt idx="411">
                  <c:v>588.76293893314778</c:v>
                </c:pt>
                <c:pt idx="412">
                  <c:v>590.7368335721585</c:v>
                </c:pt>
                <c:pt idx="413">
                  <c:v>592.70424131385073</c:v>
                </c:pt>
                <c:pt idx="414">
                  <c:v>594.66511525692272</c:v>
                </c:pt>
                <c:pt idx="415">
                  <c:v>596.61940931335437</c:v>
                </c:pt>
                <c:pt idx="416">
                  <c:v>598.56707821350165</c:v>
                </c:pt>
                <c:pt idx="417">
                  <c:v>600.50807751077821</c:v>
                </c:pt>
                <c:pt idx="418">
                  <c:v>602.44236358593469</c:v>
                </c:pt>
                <c:pt idx="419">
                  <c:v>604.36989365094564</c:v>
                </c:pt>
                <c:pt idx="420">
                  <c:v>606.29062575251373</c:v>
                </c:pt>
                <c:pt idx="421">
                  <c:v>608.20451877520156</c:v>
                </c:pt>
                <c:pt idx="422">
                  <c:v>610.11153244419859</c:v>
                </c:pt>
                <c:pt idx="423">
                  <c:v>612.01162732773366</c:v>
                </c:pt>
                <c:pt idx="424">
                  <c:v>613.90476483914063</c:v>
                </c:pt>
                <c:pt idx="425">
                  <c:v>615.79090723858519</c:v>
                </c:pt>
                <c:pt idx="426">
                  <c:v>617.67001763446171</c:v>
                </c:pt>
                <c:pt idx="427">
                  <c:v>619.54205998446753</c:v>
                </c:pt>
                <c:pt idx="428">
                  <c:v>621.40699909636203</c:v>
                </c:pt>
                <c:pt idx="429">
                  <c:v>623.26480062841881</c:v>
                </c:pt>
                <c:pt idx="430">
                  <c:v>625.11543108957676</c:v>
                </c:pt>
                <c:pt idx="431">
                  <c:v>626.95885783929884</c:v>
                </c:pt>
                <c:pt idx="432">
                  <c:v>628.79504908714432</c:v>
                </c:pt>
                <c:pt idx="433">
                  <c:v>630.62397389206183</c:v>
                </c:pt>
                <c:pt idx="434">
                  <c:v>632.44560216141008</c:v>
                </c:pt>
                <c:pt idx="435">
                  <c:v>634.2599046497121</c:v>
                </c:pt>
                <c:pt idx="436">
                  <c:v>636.06685295715045</c:v>
                </c:pt>
                <c:pt idx="437">
                  <c:v>637.86641952780906</c:v>
                </c:pt>
                <c:pt idx="438">
                  <c:v>639.65857764766861</c:v>
                </c:pt>
                <c:pt idx="439">
                  <c:v>641.44330144236062</c:v>
                </c:pt>
                <c:pt idx="440">
                  <c:v>643.22056587468785</c:v>
                </c:pt>
                <c:pt idx="441">
                  <c:v>644.99034674191546</c:v>
                </c:pt>
                <c:pt idx="442">
                  <c:v>646.75262067284007</c:v>
                </c:pt>
                <c:pt idx="443">
                  <c:v>648.50736512464198</c:v>
                </c:pt>
                <c:pt idx="444">
                  <c:v>650.25455837952666</c:v>
                </c:pt>
                <c:pt idx="445">
                  <c:v>651.99417954116075</c:v>
                </c:pt>
                <c:pt idx="446">
                  <c:v>653.72620853090905</c:v>
                </c:pt>
                <c:pt idx="447">
                  <c:v>655.45062608387707</c:v>
                </c:pt>
                <c:pt idx="448">
                  <c:v>657.16741374476578</c:v>
                </c:pt>
                <c:pt idx="449">
                  <c:v>658.87655386354299</c:v>
                </c:pt>
                <c:pt idx="450">
                  <c:v>660.5780295909376</c:v>
                </c:pt>
                <c:pt idx="451">
                  <c:v>662.27182487376137</c:v>
                </c:pt>
                <c:pt idx="452">
                  <c:v>663.9579244500643</c:v>
                </c:pt>
                <c:pt idx="453">
                  <c:v>665.63631384412815</c:v>
                </c:pt>
                <c:pt idx="454">
                  <c:v>667.30697936130355</c:v>
                </c:pt>
                <c:pt idx="455">
                  <c:v>668.96990808269572</c:v>
                </c:pt>
                <c:pt idx="456">
                  <c:v>670.62508785970408</c:v>
                </c:pt>
                <c:pt idx="457">
                  <c:v>672.27250730842081</c:v>
                </c:pt>
                <c:pt idx="458">
                  <c:v>673.91215580389269</c:v>
                </c:pt>
                <c:pt idx="459">
                  <c:v>675.54402347425184</c:v>
                </c:pt>
                <c:pt idx="460">
                  <c:v>677.16810119472018</c:v>
                </c:pt>
                <c:pt idx="461">
                  <c:v>678.78438058149118</c:v>
                </c:pt>
                <c:pt idx="462">
                  <c:v>680.39285398549589</c:v>
                </c:pt>
                <c:pt idx="463">
                  <c:v>681.99351448605535</c:v>
                </c:pt>
                <c:pt idx="464">
                  <c:v>683.5863558844261</c:v>
                </c:pt>
                <c:pt idx="465">
                  <c:v>685.17137269724196</c:v>
                </c:pt>
                <c:pt idx="466">
                  <c:v>686.74856014985744</c:v>
                </c:pt>
                <c:pt idx="467">
                  <c:v>688.31791416959641</c:v>
                </c:pt>
                <c:pt idx="468">
                  <c:v>689.87943137891148</c:v>
                </c:pt>
                <c:pt idx="469">
                  <c:v>691.43310908845717</c:v>
                </c:pt>
                <c:pt idx="470">
                  <c:v>692.97894529008192</c:v>
                </c:pt>
                <c:pt idx="471">
                  <c:v>694.51693864974334</c:v>
                </c:pt>
                <c:pt idx="472">
                  <c:v>696.04708850034979</c:v>
                </c:pt>
                <c:pt idx="473">
                  <c:v>697.56939483453345</c:v>
                </c:pt>
                <c:pt idx="474">
                  <c:v>699.08385829735846</c:v>
                </c:pt>
                <c:pt idx="475">
                  <c:v>700.59048017896782</c:v>
                </c:pt>
                <c:pt idx="476">
                  <c:v>702.08926240717324</c:v>
                </c:pt>
                <c:pt idx="477">
                  <c:v>703.58020753999199</c:v>
                </c:pt>
                <c:pt idx="478">
                  <c:v>705.06331875813407</c:v>
                </c:pt>
                <c:pt idx="479">
                  <c:v>706.5385998574435</c:v>
                </c:pt>
                <c:pt idx="480">
                  <c:v>708.00605524129742</c:v>
                </c:pt>
                <c:pt idx="481">
                  <c:v>709.46568991296681</c:v>
                </c:pt>
                <c:pt idx="482">
                  <c:v>710.91750946794195</c:v>
                </c:pt>
                <c:pt idx="483">
                  <c:v>712.36152008622616</c:v>
                </c:pt>
                <c:pt idx="484">
                  <c:v>713.79772852460155</c:v>
                </c:pt>
                <c:pt idx="485">
                  <c:v>715.22614210886945</c:v>
                </c:pt>
                <c:pt idx="486">
                  <c:v>716.64676872606947</c:v>
                </c:pt>
                <c:pt idx="487">
                  <c:v>718.05961681667975</c:v>
                </c:pt>
                <c:pt idx="488">
                  <c:v>719.46469536680206</c:v>
                </c:pt>
                <c:pt idx="489">
                  <c:v>720.86201390033432</c:v>
                </c:pt>
                <c:pt idx="490">
                  <c:v>722.25158247113416</c:v>
                </c:pt>
                <c:pt idx="491">
                  <c:v>723.63341165517568</c:v>
                </c:pt>
                <c:pt idx="492">
                  <c:v>725.00751254270267</c:v>
                </c:pt>
                <c:pt idx="493">
                  <c:v>726.37389673038126</c:v>
                </c:pt>
                <c:pt idx="494">
                  <c:v>727.7325763134545</c:v>
                </c:pt>
                <c:pt idx="495">
                  <c:v>729.0835638779015</c:v>
                </c:pt>
                <c:pt idx="496">
                  <c:v>730.42687249260405</c:v>
                </c:pt>
                <c:pt idx="497">
                  <c:v>731.7625157015226</c:v>
                </c:pt>
                <c:pt idx="498">
                  <c:v>733.09050751588495</c:v>
                </c:pt>
                <c:pt idx="499">
                  <c:v>734.41086240638924</c:v>
                </c:pt>
                <c:pt idx="500">
                  <c:v>735.7235952954245</c:v>
                </c:pt>
                <c:pt idx="501">
                  <c:v>737.02872154931003</c:v>
                </c:pt>
                <c:pt idx="502">
                  <c:v>738.32625697055653</c:v>
                </c:pt>
                <c:pt idx="503">
                  <c:v>739.61621779015104</c:v>
                </c:pt>
                <c:pt idx="504">
                  <c:v>740.89862065986767</c:v>
                </c:pt>
                <c:pt idx="505">
                  <c:v>742.17348264460611</c:v>
                </c:pt>
                <c:pt idx="506">
                  <c:v>743.44082121476015</c:v>
                </c:pt>
                <c:pt idx="507">
                  <c:v>744.70065423861774</c:v>
                </c:pt>
                <c:pt idx="508">
                  <c:v>745.95299997479503</c:v>
                </c:pt>
                <c:pt idx="509">
                  <c:v>747.19787706470595</c:v>
                </c:pt>
                <c:pt idx="510">
                  <c:v>748.43530452506832</c:v>
                </c:pt>
                <c:pt idx="511">
                  <c:v>749.66530174044965</c:v>
                </c:pt>
                <c:pt idx="512">
                  <c:v>750.88788845585316</c:v>
                </c:pt>
                <c:pt idx="513">
                  <c:v>752.10308476934563</c:v>
                </c:pt>
                <c:pt idx="514">
                  <c:v>753.31091112472961</c:v>
                </c:pt>
                <c:pt idx="515">
                  <c:v>754.51138830425998</c:v>
                </c:pt>
                <c:pt idx="516">
                  <c:v>755.70453742140728</c:v>
                </c:pt>
                <c:pt idx="517">
                  <c:v>755.70453742140728</c:v>
                </c:pt>
                <c:pt idx="518">
                  <c:v>755.70453742140728</c:v>
                </c:pt>
                <c:pt idx="519">
                  <c:v>755.70453742140728</c:v>
                </c:pt>
                <c:pt idx="520">
                  <c:v>755.70453742140728</c:v>
                </c:pt>
                <c:pt idx="521">
                  <c:v>755.70453742140728</c:v>
                </c:pt>
                <c:pt idx="522">
                  <c:v>755.70453742140728</c:v>
                </c:pt>
                <c:pt idx="523">
                  <c:v>755.70453742140728</c:v>
                </c:pt>
                <c:pt idx="524">
                  <c:v>755.70453742140728</c:v>
                </c:pt>
                <c:pt idx="525">
                  <c:v>755.70453742140728</c:v>
                </c:pt>
                <c:pt idx="526">
                  <c:v>755.70453742140728</c:v>
                </c:pt>
                <c:pt idx="527">
                  <c:v>755.70453742140728</c:v>
                </c:pt>
                <c:pt idx="528">
                  <c:v>755.70453742140728</c:v>
                </c:pt>
                <c:pt idx="529">
                  <c:v>755.70453742140728</c:v>
                </c:pt>
                <c:pt idx="530">
                  <c:v>755.70453742140728</c:v>
                </c:pt>
                <c:pt idx="531">
                  <c:v>755.70453742140728</c:v>
                </c:pt>
                <c:pt idx="532">
                  <c:v>755.70453742140728</c:v>
                </c:pt>
                <c:pt idx="533">
                  <c:v>755.70453742140728</c:v>
                </c:pt>
                <c:pt idx="534">
                  <c:v>755.70453742140728</c:v>
                </c:pt>
                <c:pt idx="535">
                  <c:v>755.70453742140728</c:v>
                </c:pt>
                <c:pt idx="536">
                  <c:v>755.70453742140728</c:v>
                </c:pt>
                <c:pt idx="537">
                  <c:v>755.70453742140728</c:v>
                </c:pt>
                <c:pt idx="538">
                  <c:v>755.70453742140728</c:v>
                </c:pt>
                <c:pt idx="539">
                  <c:v>755.70453742140728</c:v>
                </c:pt>
                <c:pt idx="540">
                  <c:v>755.70453742140728</c:v>
                </c:pt>
                <c:pt idx="541">
                  <c:v>755.70453742140728</c:v>
                </c:pt>
                <c:pt idx="542">
                  <c:v>755.70453742140728</c:v>
                </c:pt>
                <c:pt idx="543">
                  <c:v>755.70453742140728</c:v>
                </c:pt>
                <c:pt idx="544">
                  <c:v>755.70453742140728</c:v>
                </c:pt>
                <c:pt idx="545">
                  <c:v>755.70453742140728</c:v>
                </c:pt>
                <c:pt idx="546">
                  <c:v>755.70453742140728</c:v>
                </c:pt>
                <c:pt idx="547">
                  <c:v>755.70453742140728</c:v>
                </c:pt>
                <c:pt idx="548">
                  <c:v>755.70453742140728</c:v>
                </c:pt>
                <c:pt idx="549">
                  <c:v>755.70453742140728</c:v>
                </c:pt>
                <c:pt idx="550">
                  <c:v>755.70453742140728</c:v>
                </c:pt>
                <c:pt idx="551">
                  <c:v>755.70453742140728</c:v>
                </c:pt>
                <c:pt idx="552">
                  <c:v>755.70453742140728</c:v>
                </c:pt>
                <c:pt idx="553">
                  <c:v>755.70453742140728</c:v>
                </c:pt>
                <c:pt idx="554">
                  <c:v>755.70453742140728</c:v>
                </c:pt>
                <c:pt idx="555">
                  <c:v>755.70453742140728</c:v>
                </c:pt>
                <c:pt idx="556">
                  <c:v>755.70453742140728</c:v>
                </c:pt>
                <c:pt idx="557">
                  <c:v>755.70453742140728</c:v>
                </c:pt>
                <c:pt idx="558">
                  <c:v>755.70453742140728</c:v>
                </c:pt>
                <c:pt idx="559">
                  <c:v>755.70453742140728</c:v>
                </c:pt>
                <c:pt idx="560">
                  <c:v>755.70453742140728</c:v>
                </c:pt>
                <c:pt idx="561">
                  <c:v>755.70453742140728</c:v>
                </c:pt>
                <c:pt idx="562">
                  <c:v>755.70453742140728</c:v>
                </c:pt>
                <c:pt idx="563">
                  <c:v>755.70453742140728</c:v>
                </c:pt>
                <c:pt idx="564">
                  <c:v>755.70453742140728</c:v>
                </c:pt>
                <c:pt idx="565">
                  <c:v>755.70453742140728</c:v>
                </c:pt>
                <c:pt idx="566">
                  <c:v>755.70453742140728</c:v>
                </c:pt>
                <c:pt idx="567">
                  <c:v>755.70453742140728</c:v>
                </c:pt>
                <c:pt idx="568">
                  <c:v>755.70453742140728</c:v>
                </c:pt>
                <c:pt idx="569">
                  <c:v>755.70453742140728</c:v>
                </c:pt>
                <c:pt idx="570">
                  <c:v>755.70453742140728</c:v>
                </c:pt>
                <c:pt idx="571">
                  <c:v>755.70453742140728</c:v>
                </c:pt>
                <c:pt idx="572">
                  <c:v>755.70453742140728</c:v>
                </c:pt>
                <c:pt idx="573">
                  <c:v>755.70453742140728</c:v>
                </c:pt>
                <c:pt idx="574">
                  <c:v>755.70453742140728</c:v>
                </c:pt>
                <c:pt idx="575">
                  <c:v>755.70453742140728</c:v>
                </c:pt>
                <c:pt idx="576">
                  <c:v>755.70453742140728</c:v>
                </c:pt>
                <c:pt idx="577">
                  <c:v>755.70453742140728</c:v>
                </c:pt>
                <c:pt idx="578">
                  <c:v>755.70453742140728</c:v>
                </c:pt>
                <c:pt idx="579">
                  <c:v>755.70453742140728</c:v>
                </c:pt>
                <c:pt idx="580">
                  <c:v>755.70453742140728</c:v>
                </c:pt>
                <c:pt idx="581">
                  <c:v>755.70453742140728</c:v>
                </c:pt>
                <c:pt idx="582">
                  <c:v>755.70453742140728</c:v>
                </c:pt>
                <c:pt idx="583">
                  <c:v>755.70453742140728</c:v>
                </c:pt>
                <c:pt idx="584">
                  <c:v>755.70453742140728</c:v>
                </c:pt>
                <c:pt idx="585">
                  <c:v>755.70453742140728</c:v>
                </c:pt>
                <c:pt idx="586">
                  <c:v>755.70453742140728</c:v>
                </c:pt>
                <c:pt idx="587">
                  <c:v>755.70453742140728</c:v>
                </c:pt>
                <c:pt idx="588">
                  <c:v>755.70453742140728</c:v>
                </c:pt>
                <c:pt idx="589">
                  <c:v>755.70453742140728</c:v>
                </c:pt>
                <c:pt idx="590">
                  <c:v>755.70453742140728</c:v>
                </c:pt>
                <c:pt idx="591">
                  <c:v>755.70453742140728</c:v>
                </c:pt>
                <c:pt idx="592">
                  <c:v>755.70453742140728</c:v>
                </c:pt>
                <c:pt idx="593">
                  <c:v>755.70453742140728</c:v>
                </c:pt>
                <c:pt idx="594">
                  <c:v>755.70453742140728</c:v>
                </c:pt>
                <c:pt idx="595">
                  <c:v>755.70453742140728</c:v>
                </c:pt>
                <c:pt idx="596">
                  <c:v>755.70453742140728</c:v>
                </c:pt>
                <c:pt idx="597">
                  <c:v>755.70453742140728</c:v>
                </c:pt>
                <c:pt idx="598">
                  <c:v>755.70453742140728</c:v>
                </c:pt>
                <c:pt idx="599">
                  <c:v>755.70453742140728</c:v>
                </c:pt>
                <c:pt idx="600">
                  <c:v>755.70453742140728</c:v>
                </c:pt>
                <c:pt idx="601">
                  <c:v>755.70453742140728</c:v>
                </c:pt>
                <c:pt idx="602">
                  <c:v>755.70453742140728</c:v>
                </c:pt>
                <c:pt idx="603">
                  <c:v>755.70453742140728</c:v>
                </c:pt>
                <c:pt idx="604">
                  <c:v>755.70453742140728</c:v>
                </c:pt>
                <c:pt idx="605">
                  <c:v>755.70453742140728</c:v>
                </c:pt>
                <c:pt idx="606">
                  <c:v>755.70453742140728</c:v>
                </c:pt>
                <c:pt idx="607">
                  <c:v>755.70453742140728</c:v>
                </c:pt>
                <c:pt idx="608">
                  <c:v>755.70453742140728</c:v>
                </c:pt>
                <c:pt idx="609">
                  <c:v>755.70453742140728</c:v>
                </c:pt>
                <c:pt idx="610">
                  <c:v>755.70453742140728</c:v>
                </c:pt>
                <c:pt idx="611">
                  <c:v>755.70453742140728</c:v>
                </c:pt>
                <c:pt idx="612">
                  <c:v>755.70453742140728</c:v>
                </c:pt>
                <c:pt idx="613">
                  <c:v>755.70453742140728</c:v>
                </c:pt>
                <c:pt idx="614">
                  <c:v>755.70453742140728</c:v>
                </c:pt>
                <c:pt idx="615">
                  <c:v>755.70453742140728</c:v>
                </c:pt>
                <c:pt idx="616">
                  <c:v>755.70453742140728</c:v>
                </c:pt>
                <c:pt idx="617">
                  <c:v>755.70453742140728</c:v>
                </c:pt>
                <c:pt idx="618">
                  <c:v>755.70453742140728</c:v>
                </c:pt>
                <c:pt idx="619">
                  <c:v>755.70453742140728</c:v>
                </c:pt>
                <c:pt idx="620">
                  <c:v>755.70453742140728</c:v>
                </c:pt>
                <c:pt idx="621">
                  <c:v>755.70453742140728</c:v>
                </c:pt>
                <c:pt idx="622">
                  <c:v>755.70453742140728</c:v>
                </c:pt>
                <c:pt idx="623">
                  <c:v>755.70453742140728</c:v>
                </c:pt>
                <c:pt idx="624">
                  <c:v>755.70453742140728</c:v>
                </c:pt>
                <c:pt idx="625">
                  <c:v>755.70453742140728</c:v>
                </c:pt>
                <c:pt idx="626">
                  <c:v>755.70453742140728</c:v>
                </c:pt>
                <c:pt idx="627">
                  <c:v>755.70453742140728</c:v>
                </c:pt>
                <c:pt idx="628">
                  <c:v>755.70453742140728</c:v>
                </c:pt>
                <c:pt idx="629">
                  <c:v>755.70453742140728</c:v>
                </c:pt>
                <c:pt idx="630">
                  <c:v>755.70453742140728</c:v>
                </c:pt>
                <c:pt idx="631">
                  <c:v>755.70453742140728</c:v>
                </c:pt>
                <c:pt idx="632">
                  <c:v>755.70453742140728</c:v>
                </c:pt>
                <c:pt idx="633">
                  <c:v>755.70453742140728</c:v>
                </c:pt>
                <c:pt idx="634">
                  <c:v>755.70453742140728</c:v>
                </c:pt>
                <c:pt idx="635">
                  <c:v>755.70453742140728</c:v>
                </c:pt>
                <c:pt idx="636">
                  <c:v>755.70453742140728</c:v>
                </c:pt>
                <c:pt idx="637">
                  <c:v>755.70453742140728</c:v>
                </c:pt>
                <c:pt idx="638">
                  <c:v>755.70453742140728</c:v>
                </c:pt>
                <c:pt idx="639">
                  <c:v>755.70453742140728</c:v>
                </c:pt>
                <c:pt idx="640">
                  <c:v>755.70453742140728</c:v>
                </c:pt>
                <c:pt idx="641">
                  <c:v>755.70453742140728</c:v>
                </c:pt>
                <c:pt idx="642">
                  <c:v>755.70453742140728</c:v>
                </c:pt>
                <c:pt idx="643">
                  <c:v>755.70453742140728</c:v>
                </c:pt>
                <c:pt idx="644">
                  <c:v>755.70453742140728</c:v>
                </c:pt>
                <c:pt idx="645">
                  <c:v>755.70453742140728</c:v>
                </c:pt>
                <c:pt idx="646">
                  <c:v>755.70453742140728</c:v>
                </c:pt>
                <c:pt idx="647">
                  <c:v>755.70453742140728</c:v>
                </c:pt>
                <c:pt idx="648">
                  <c:v>755.70453742140728</c:v>
                </c:pt>
                <c:pt idx="649">
                  <c:v>755.70453742140728</c:v>
                </c:pt>
                <c:pt idx="650">
                  <c:v>755.70453742140728</c:v>
                </c:pt>
                <c:pt idx="651">
                  <c:v>755.70453742140728</c:v>
                </c:pt>
                <c:pt idx="652">
                  <c:v>755.70453742140728</c:v>
                </c:pt>
                <c:pt idx="653">
                  <c:v>755.70453742140728</c:v>
                </c:pt>
                <c:pt idx="654">
                  <c:v>755.70453742140728</c:v>
                </c:pt>
                <c:pt idx="655">
                  <c:v>755.70453742140728</c:v>
                </c:pt>
                <c:pt idx="656">
                  <c:v>755.70453742140728</c:v>
                </c:pt>
                <c:pt idx="657">
                  <c:v>755.70453742140728</c:v>
                </c:pt>
                <c:pt idx="658">
                  <c:v>755.70453742140728</c:v>
                </c:pt>
                <c:pt idx="659">
                  <c:v>755.70453742140728</c:v>
                </c:pt>
                <c:pt idx="660">
                  <c:v>755.70453742140728</c:v>
                </c:pt>
                <c:pt idx="661">
                  <c:v>755.70453742140728</c:v>
                </c:pt>
                <c:pt idx="662">
                  <c:v>755.70453742140728</c:v>
                </c:pt>
                <c:pt idx="663">
                  <c:v>755.70453742140728</c:v>
                </c:pt>
                <c:pt idx="664">
                  <c:v>755.70453742140728</c:v>
                </c:pt>
                <c:pt idx="665">
                  <c:v>755.70453742140728</c:v>
                </c:pt>
                <c:pt idx="666">
                  <c:v>755.70453742140728</c:v>
                </c:pt>
                <c:pt idx="667">
                  <c:v>755.70453742140728</c:v>
                </c:pt>
                <c:pt idx="668">
                  <c:v>755.70453742140728</c:v>
                </c:pt>
                <c:pt idx="669">
                  <c:v>755.70453742140728</c:v>
                </c:pt>
                <c:pt idx="670">
                  <c:v>755.70453742140728</c:v>
                </c:pt>
                <c:pt idx="671">
                  <c:v>755.70453742140728</c:v>
                </c:pt>
                <c:pt idx="672">
                  <c:v>755.70453742140728</c:v>
                </c:pt>
                <c:pt idx="673">
                  <c:v>755.70453742140728</c:v>
                </c:pt>
                <c:pt idx="674">
                  <c:v>755.70453742140728</c:v>
                </c:pt>
                <c:pt idx="675">
                  <c:v>755.70453742140728</c:v>
                </c:pt>
                <c:pt idx="676">
                  <c:v>755.70453742140728</c:v>
                </c:pt>
                <c:pt idx="677">
                  <c:v>755.70453742140728</c:v>
                </c:pt>
                <c:pt idx="678">
                  <c:v>755.70453742140728</c:v>
                </c:pt>
                <c:pt idx="679">
                  <c:v>755.70453742140728</c:v>
                </c:pt>
                <c:pt idx="680">
                  <c:v>755.70453742140728</c:v>
                </c:pt>
                <c:pt idx="681">
                  <c:v>755.70453742140728</c:v>
                </c:pt>
                <c:pt idx="682">
                  <c:v>755.70453742140728</c:v>
                </c:pt>
                <c:pt idx="683">
                  <c:v>755.70453742140728</c:v>
                </c:pt>
                <c:pt idx="684">
                  <c:v>755.70453742140728</c:v>
                </c:pt>
                <c:pt idx="685">
                  <c:v>755.70453742140728</c:v>
                </c:pt>
                <c:pt idx="686">
                  <c:v>755.70453742140728</c:v>
                </c:pt>
                <c:pt idx="687">
                  <c:v>755.70453742140728</c:v>
                </c:pt>
                <c:pt idx="688">
                  <c:v>755.70453742140728</c:v>
                </c:pt>
                <c:pt idx="689">
                  <c:v>755.70453742140728</c:v>
                </c:pt>
                <c:pt idx="690">
                  <c:v>755.70453742140728</c:v>
                </c:pt>
                <c:pt idx="691">
                  <c:v>755.70453742140728</c:v>
                </c:pt>
                <c:pt idx="692">
                  <c:v>755.70453742140728</c:v>
                </c:pt>
                <c:pt idx="693">
                  <c:v>755.70453742140728</c:v>
                </c:pt>
                <c:pt idx="694">
                  <c:v>755.70453742140728</c:v>
                </c:pt>
                <c:pt idx="695">
                  <c:v>755.70453742140728</c:v>
                </c:pt>
                <c:pt idx="696">
                  <c:v>755.70453742140728</c:v>
                </c:pt>
                <c:pt idx="697">
                  <c:v>755.70453742140728</c:v>
                </c:pt>
                <c:pt idx="698">
                  <c:v>755.70453742140728</c:v>
                </c:pt>
                <c:pt idx="699">
                  <c:v>755.70453742140728</c:v>
                </c:pt>
                <c:pt idx="700">
                  <c:v>755.70453742140728</c:v>
                </c:pt>
                <c:pt idx="701">
                  <c:v>755.70453742140728</c:v>
                </c:pt>
                <c:pt idx="702">
                  <c:v>755.70453742140728</c:v>
                </c:pt>
                <c:pt idx="703">
                  <c:v>755.70453742140728</c:v>
                </c:pt>
                <c:pt idx="704">
                  <c:v>755.70453742140728</c:v>
                </c:pt>
                <c:pt idx="705">
                  <c:v>755.70453742140728</c:v>
                </c:pt>
                <c:pt idx="706">
                  <c:v>755.70453742140728</c:v>
                </c:pt>
                <c:pt idx="707">
                  <c:v>755.70453742140728</c:v>
                </c:pt>
                <c:pt idx="708">
                  <c:v>755.70453742140728</c:v>
                </c:pt>
                <c:pt idx="709">
                  <c:v>755.70453742140728</c:v>
                </c:pt>
                <c:pt idx="710">
                  <c:v>755.70453742140728</c:v>
                </c:pt>
                <c:pt idx="711">
                  <c:v>755.70453742140728</c:v>
                </c:pt>
                <c:pt idx="712">
                  <c:v>755.70453742140728</c:v>
                </c:pt>
                <c:pt idx="713">
                  <c:v>755.70453742140728</c:v>
                </c:pt>
                <c:pt idx="714">
                  <c:v>755.70453742140728</c:v>
                </c:pt>
                <c:pt idx="715">
                  <c:v>755.70453742140728</c:v>
                </c:pt>
                <c:pt idx="716">
                  <c:v>755.70453742140728</c:v>
                </c:pt>
                <c:pt idx="717">
                  <c:v>755.70453742140728</c:v>
                </c:pt>
                <c:pt idx="718">
                  <c:v>755.70453742140728</c:v>
                </c:pt>
                <c:pt idx="719">
                  <c:v>755.70453742140728</c:v>
                </c:pt>
                <c:pt idx="720">
                  <c:v>755.70453742140728</c:v>
                </c:pt>
                <c:pt idx="721">
                  <c:v>755.70453742140728</c:v>
                </c:pt>
                <c:pt idx="722">
                  <c:v>755.70453742140728</c:v>
                </c:pt>
                <c:pt idx="723">
                  <c:v>755.70453742140728</c:v>
                </c:pt>
                <c:pt idx="724">
                  <c:v>755.70453742140728</c:v>
                </c:pt>
                <c:pt idx="725">
                  <c:v>755.70453742140728</c:v>
                </c:pt>
                <c:pt idx="726">
                  <c:v>755.70453742140728</c:v>
                </c:pt>
                <c:pt idx="727">
                  <c:v>755.70453742140728</c:v>
                </c:pt>
                <c:pt idx="728">
                  <c:v>755.70453742140728</c:v>
                </c:pt>
                <c:pt idx="729">
                  <c:v>755.70453742140728</c:v>
                </c:pt>
                <c:pt idx="730">
                  <c:v>755.70453742140728</c:v>
                </c:pt>
                <c:pt idx="731">
                  <c:v>755.70453742140728</c:v>
                </c:pt>
                <c:pt idx="732">
                  <c:v>755.70453742140728</c:v>
                </c:pt>
                <c:pt idx="733">
                  <c:v>755.70453742140728</c:v>
                </c:pt>
                <c:pt idx="734">
                  <c:v>755.70453742140728</c:v>
                </c:pt>
                <c:pt idx="735">
                  <c:v>755.70453742140728</c:v>
                </c:pt>
                <c:pt idx="736">
                  <c:v>755.70453742140728</c:v>
                </c:pt>
                <c:pt idx="737">
                  <c:v>755.70453742140728</c:v>
                </c:pt>
                <c:pt idx="738">
                  <c:v>755.70453742140728</c:v>
                </c:pt>
                <c:pt idx="739">
                  <c:v>755.70453742140728</c:v>
                </c:pt>
                <c:pt idx="740">
                  <c:v>755.70453742140728</c:v>
                </c:pt>
                <c:pt idx="741">
                  <c:v>755.70453742140728</c:v>
                </c:pt>
                <c:pt idx="742">
                  <c:v>755.70453742140728</c:v>
                </c:pt>
                <c:pt idx="743">
                  <c:v>755.70453742140728</c:v>
                </c:pt>
                <c:pt idx="744">
                  <c:v>755.70453742140728</c:v>
                </c:pt>
                <c:pt idx="745">
                  <c:v>755.70453742140728</c:v>
                </c:pt>
                <c:pt idx="746">
                  <c:v>755.70453742140728</c:v>
                </c:pt>
                <c:pt idx="747">
                  <c:v>755.70453742140728</c:v>
                </c:pt>
                <c:pt idx="748">
                  <c:v>755.70453742140728</c:v>
                </c:pt>
                <c:pt idx="749">
                  <c:v>755.70453742140728</c:v>
                </c:pt>
                <c:pt idx="750">
                  <c:v>755.70453742140728</c:v>
                </c:pt>
                <c:pt idx="751">
                  <c:v>755.70453742140728</c:v>
                </c:pt>
                <c:pt idx="752">
                  <c:v>755.70453742140728</c:v>
                </c:pt>
                <c:pt idx="753">
                  <c:v>755.70453742140728</c:v>
                </c:pt>
                <c:pt idx="754">
                  <c:v>755.70453742140728</c:v>
                </c:pt>
                <c:pt idx="755">
                  <c:v>755.70453742140728</c:v>
                </c:pt>
                <c:pt idx="756">
                  <c:v>755.70453742140728</c:v>
                </c:pt>
                <c:pt idx="757">
                  <c:v>755.70453742140728</c:v>
                </c:pt>
                <c:pt idx="758">
                  <c:v>755.70453742140728</c:v>
                </c:pt>
                <c:pt idx="759">
                  <c:v>755.70453742140728</c:v>
                </c:pt>
                <c:pt idx="760">
                  <c:v>755.70453742140728</c:v>
                </c:pt>
                <c:pt idx="761">
                  <c:v>755.70453742140728</c:v>
                </c:pt>
                <c:pt idx="762">
                  <c:v>755.70453742140728</c:v>
                </c:pt>
                <c:pt idx="763">
                  <c:v>755.70453742140728</c:v>
                </c:pt>
                <c:pt idx="764">
                  <c:v>755.70453742140728</c:v>
                </c:pt>
                <c:pt idx="765">
                  <c:v>755.70453742140728</c:v>
                </c:pt>
                <c:pt idx="766">
                  <c:v>755.70453742140728</c:v>
                </c:pt>
                <c:pt idx="767">
                  <c:v>755.70453742140728</c:v>
                </c:pt>
                <c:pt idx="768">
                  <c:v>755.70453742140728</c:v>
                </c:pt>
                <c:pt idx="769">
                  <c:v>755.70453742140728</c:v>
                </c:pt>
                <c:pt idx="770">
                  <c:v>755.70453742140728</c:v>
                </c:pt>
                <c:pt idx="771">
                  <c:v>755.70453742140728</c:v>
                </c:pt>
                <c:pt idx="772">
                  <c:v>755.70453742140728</c:v>
                </c:pt>
                <c:pt idx="773">
                  <c:v>755.70453742140728</c:v>
                </c:pt>
                <c:pt idx="774">
                  <c:v>755.70453742140728</c:v>
                </c:pt>
                <c:pt idx="775">
                  <c:v>755.70453742140728</c:v>
                </c:pt>
                <c:pt idx="776">
                  <c:v>755.70453742140728</c:v>
                </c:pt>
                <c:pt idx="777">
                  <c:v>755.70453742140728</c:v>
                </c:pt>
                <c:pt idx="778">
                  <c:v>755.70453742140728</c:v>
                </c:pt>
                <c:pt idx="779">
                  <c:v>755.70453742140728</c:v>
                </c:pt>
                <c:pt idx="780">
                  <c:v>755.70453742140728</c:v>
                </c:pt>
                <c:pt idx="781">
                  <c:v>755.70453742140728</c:v>
                </c:pt>
                <c:pt idx="782">
                  <c:v>755.70453742140728</c:v>
                </c:pt>
                <c:pt idx="783">
                  <c:v>755.70453742140728</c:v>
                </c:pt>
                <c:pt idx="784">
                  <c:v>755.70453742140728</c:v>
                </c:pt>
                <c:pt idx="785">
                  <c:v>755.70453742140728</c:v>
                </c:pt>
                <c:pt idx="786">
                  <c:v>755.70453742140728</c:v>
                </c:pt>
                <c:pt idx="787">
                  <c:v>755.70453742140728</c:v>
                </c:pt>
                <c:pt idx="788">
                  <c:v>755.70453742140728</c:v>
                </c:pt>
                <c:pt idx="789">
                  <c:v>755.70453742140728</c:v>
                </c:pt>
                <c:pt idx="790">
                  <c:v>755.70453742140728</c:v>
                </c:pt>
                <c:pt idx="791">
                  <c:v>755.70453742140728</c:v>
                </c:pt>
                <c:pt idx="792">
                  <c:v>755.70453742140728</c:v>
                </c:pt>
                <c:pt idx="793">
                  <c:v>755.70453742140728</c:v>
                </c:pt>
                <c:pt idx="794">
                  <c:v>755.70453742140728</c:v>
                </c:pt>
                <c:pt idx="795">
                  <c:v>755.70453742140728</c:v>
                </c:pt>
                <c:pt idx="796">
                  <c:v>755.70453742140728</c:v>
                </c:pt>
                <c:pt idx="797">
                  <c:v>755.70453742140728</c:v>
                </c:pt>
                <c:pt idx="798">
                  <c:v>755.70453742140728</c:v>
                </c:pt>
                <c:pt idx="799">
                  <c:v>755.70453742140728</c:v>
                </c:pt>
                <c:pt idx="800">
                  <c:v>755.70453742140728</c:v>
                </c:pt>
                <c:pt idx="801">
                  <c:v>755.70453742140728</c:v>
                </c:pt>
                <c:pt idx="802">
                  <c:v>755.70453742140728</c:v>
                </c:pt>
                <c:pt idx="803">
                  <c:v>755.70453742140728</c:v>
                </c:pt>
                <c:pt idx="804">
                  <c:v>755.70453742140728</c:v>
                </c:pt>
                <c:pt idx="805">
                  <c:v>755.70453742140728</c:v>
                </c:pt>
                <c:pt idx="806">
                  <c:v>755.70453742140728</c:v>
                </c:pt>
                <c:pt idx="807">
                  <c:v>755.70453742140728</c:v>
                </c:pt>
                <c:pt idx="808">
                  <c:v>755.70453742140728</c:v>
                </c:pt>
                <c:pt idx="809">
                  <c:v>755.70453742140728</c:v>
                </c:pt>
                <c:pt idx="810">
                  <c:v>755.70453742140728</c:v>
                </c:pt>
                <c:pt idx="811">
                  <c:v>755.70453742140728</c:v>
                </c:pt>
                <c:pt idx="812">
                  <c:v>755.70453742140728</c:v>
                </c:pt>
                <c:pt idx="813">
                  <c:v>755.70453742140728</c:v>
                </c:pt>
                <c:pt idx="814">
                  <c:v>755.70453742140728</c:v>
                </c:pt>
                <c:pt idx="815">
                  <c:v>755.70453742140728</c:v>
                </c:pt>
                <c:pt idx="816">
                  <c:v>755.70453742140728</c:v>
                </c:pt>
                <c:pt idx="817">
                  <c:v>755.70453742140728</c:v>
                </c:pt>
                <c:pt idx="818">
                  <c:v>755.70453742140728</c:v>
                </c:pt>
                <c:pt idx="819">
                  <c:v>755.70453742140728</c:v>
                </c:pt>
                <c:pt idx="820">
                  <c:v>755.70453742140728</c:v>
                </c:pt>
                <c:pt idx="821">
                  <c:v>755.70453742140728</c:v>
                </c:pt>
                <c:pt idx="822">
                  <c:v>755.70453742140728</c:v>
                </c:pt>
                <c:pt idx="823">
                  <c:v>755.70453742140728</c:v>
                </c:pt>
                <c:pt idx="824">
                  <c:v>755.70453742140728</c:v>
                </c:pt>
                <c:pt idx="825">
                  <c:v>755.70453742140728</c:v>
                </c:pt>
                <c:pt idx="826">
                  <c:v>755.70453742140728</c:v>
                </c:pt>
                <c:pt idx="827">
                  <c:v>755.70453742140728</c:v>
                </c:pt>
                <c:pt idx="828">
                  <c:v>755.70453742140728</c:v>
                </c:pt>
                <c:pt idx="829">
                  <c:v>755.70453742140728</c:v>
                </c:pt>
                <c:pt idx="830">
                  <c:v>755.70453742140728</c:v>
                </c:pt>
                <c:pt idx="831">
                  <c:v>755.70453742140728</c:v>
                </c:pt>
                <c:pt idx="832">
                  <c:v>755.70453742140728</c:v>
                </c:pt>
                <c:pt idx="833">
                  <c:v>755.70453742140728</c:v>
                </c:pt>
                <c:pt idx="834">
                  <c:v>755.70453742140728</c:v>
                </c:pt>
                <c:pt idx="835">
                  <c:v>755.70453742140728</c:v>
                </c:pt>
                <c:pt idx="836">
                  <c:v>755.70453742140728</c:v>
                </c:pt>
                <c:pt idx="837">
                  <c:v>755.70453742140728</c:v>
                </c:pt>
                <c:pt idx="838">
                  <c:v>755.70453742140728</c:v>
                </c:pt>
                <c:pt idx="839">
                  <c:v>755.70453742140728</c:v>
                </c:pt>
                <c:pt idx="840">
                  <c:v>755.70453742140728</c:v>
                </c:pt>
                <c:pt idx="841">
                  <c:v>755.70453742140728</c:v>
                </c:pt>
                <c:pt idx="842">
                  <c:v>755.70453742140728</c:v>
                </c:pt>
                <c:pt idx="843">
                  <c:v>755.70453742140728</c:v>
                </c:pt>
                <c:pt idx="844">
                  <c:v>755.70453742140728</c:v>
                </c:pt>
                <c:pt idx="845">
                  <c:v>755.70453742140728</c:v>
                </c:pt>
                <c:pt idx="846">
                  <c:v>755.70453742140728</c:v>
                </c:pt>
                <c:pt idx="847">
                  <c:v>755.70453742140728</c:v>
                </c:pt>
                <c:pt idx="848">
                  <c:v>755.70453742140728</c:v>
                </c:pt>
                <c:pt idx="849">
                  <c:v>755.70453742140728</c:v>
                </c:pt>
                <c:pt idx="850">
                  <c:v>755.70453742140728</c:v>
                </c:pt>
                <c:pt idx="851">
                  <c:v>755.70453742140728</c:v>
                </c:pt>
                <c:pt idx="852">
                  <c:v>755.70453742140728</c:v>
                </c:pt>
                <c:pt idx="853">
                  <c:v>755.70453742140728</c:v>
                </c:pt>
                <c:pt idx="854">
                  <c:v>755.70453742140728</c:v>
                </c:pt>
                <c:pt idx="855">
                  <c:v>755.70453742140728</c:v>
                </c:pt>
                <c:pt idx="856">
                  <c:v>755.70453742140728</c:v>
                </c:pt>
                <c:pt idx="857">
                  <c:v>755.70453742140728</c:v>
                </c:pt>
                <c:pt idx="858">
                  <c:v>755.70453742140728</c:v>
                </c:pt>
                <c:pt idx="859">
                  <c:v>755.70453742140728</c:v>
                </c:pt>
                <c:pt idx="860">
                  <c:v>755.70453742140728</c:v>
                </c:pt>
                <c:pt idx="861">
                  <c:v>755.70453742140728</c:v>
                </c:pt>
                <c:pt idx="862">
                  <c:v>755.70453742140728</c:v>
                </c:pt>
                <c:pt idx="863">
                  <c:v>755.70453742140728</c:v>
                </c:pt>
                <c:pt idx="864">
                  <c:v>755.70453742140728</c:v>
                </c:pt>
                <c:pt idx="865">
                  <c:v>755.70453742140728</c:v>
                </c:pt>
                <c:pt idx="866">
                  <c:v>755.70453742140728</c:v>
                </c:pt>
                <c:pt idx="867">
                  <c:v>755.70453742140728</c:v>
                </c:pt>
                <c:pt idx="868">
                  <c:v>755.70453742140728</c:v>
                </c:pt>
                <c:pt idx="869">
                  <c:v>755.70453742140728</c:v>
                </c:pt>
                <c:pt idx="870">
                  <c:v>755.70453742140728</c:v>
                </c:pt>
                <c:pt idx="871">
                  <c:v>755.70453742140728</c:v>
                </c:pt>
                <c:pt idx="872">
                  <c:v>755.70453742140728</c:v>
                </c:pt>
                <c:pt idx="873">
                  <c:v>755.70453742140728</c:v>
                </c:pt>
                <c:pt idx="874">
                  <c:v>755.70453742140728</c:v>
                </c:pt>
                <c:pt idx="875">
                  <c:v>755.70453742140728</c:v>
                </c:pt>
                <c:pt idx="876">
                  <c:v>755.70453742140728</c:v>
                </c:pt>
                <c:pt idx="877">
                  <c:v>755.70453742140728</c:v>
                </c:pt>
                <c:pt idx="878">
                  <c:v>755.70453742140728</c:v>
                </c:pt>
                <c:pt idx="879">
                  <c:v>755.70453742140728</c:v>
                </c:pt>
                <c:pt idx="880">
                  <c:v>755.70453742140728</c:v>
                </c:pt>
                <c:pt idx="881">
                  <c:v>755.70453742140728</c:v>
                </c:pt>
                <c:pt idx="882">
                  <c:v>755.70453742140728</c:v>
                </c:pt>
                <c:pt idx="883">
                  <c:v>755.70453742140728</c:v>
                </c:pt>
                <c:pt idx="884">
                  <c:v>755.70453742140728</c:v>
                </c:pt>
                <c:pt idx="885">
                  <c:v>755.70453742140728</c:v>
                </c:pt>
                <c:pt idx="886">
                  <c:v>755.70453742140728</c:v>
                </c:pt>
                <c:pt idx="887">
                  <c:v>755.70453742140728</c:v>
                </c:pt>
                <c:pt idx="888">
                  <c:v>755.70453742140728</c:v>
                </c:pt>
                <c:pt idx="889">
                  <c:v>755.70453742140728</c:v>
                </c:pt>
                <c:pt idx="890">
                  <c:v>755.70453742140728</c:v>
                </c:pt>
                <c:pt idx="891">
                  <c:v>755.70453742140728</c:v>
                </c:pt>
                <c:pt idx="892">
                  <c:v>755.70453742140728</c:v>
                </c:pt>
                <c:pt idx="893">
                  <c:v>755.70453742140728</c:v>
                </c:pt>
                <c:pt idx="894">
                  <c:v>755.70453742140728</c:v>
                </c:pt>
                <c:pt idx="895">
                  <c:v>755.70453742140728</c:v>
                </c:pt>
                <c:pt idx="896">
                  <c:v>755.70453742140728</c:v>
                </c:pt>
                <c:pt idx="897">
                  <c:v>755.70453742140728</c:v>
                </c:pt>
                <c:pt idx="898">
                  <c:v>755.70453742140728</c:v>
                </c:pt>
                <c:pt idx="899">
                  <c:v>755.70453742140728</c:v>
                </c:pt>
                <c:pt idx="900">
                  <c:v>755.70453742140728</c:v>
                </c:pt>
                <c:pt idx="901">
                  <c:v>755.70453742140728</c:v>
                </c:pt>
                <c:pt idx="902">
                  <c:v>755.70453742140728</c:v>
                </c:pt>
                <c:pt idx="903">
                  <c:v>755.70453742140728</c:v>
                </c:pt>
                <c:pt idx="904">
                  <c:v>755.70453742140728</c:v>
                </c:pt>
                <c:pt idx="905">
                  <c:v>755.70453742140728</c:v>
                </c:pt>
                <c:pt idx="906">
                  <c:v>755.70453742140728</c:v>
                </c:pt>
                <c:pt idx="907">
                  <c:v>755.70453742140728</c:v>
                </c:pt>
                <c:pt idx="908">
                  <c:v>755.70453742140728</c:v>
                </c:pt>
                <c:pt idx="909">
                  <c:v>755.70453742140728</c:v>
                </c:pt>
                <c:pt idx="910">
                  <c:v>755.70453742140728</c:v>
                </c:pt>
                <c:pt idx="911">
                  <c:v>755.70453742140728</c:v>
                </c:pt>
                <c:pt idx="912">
                  <c:v>755.70453742140728</c:v>
                </c:pt>
                <c:pt idx="913">
                  <c:v>755.70453742140728</c:v>
                </c:pt>
                <c:pt idx="914">
                  <c:v>755.70453742140728</c:v>
                </c:pt>
                <c:pt idx="915">
                  <c:v>755.70453742140728</c:v>
                </c:pt>
                <c:pt idx="916">
                  <c:v>755.70453742140728</c:v>
                </c:pt>
                <c:pt idx="917">
                  <c:v>755.70453742140728</c:v>
                </c:pt>
                <c:pt idx="918">
                  <c:v>755.70453742140728</c:v>
                </c:pt>
                <c:pt idx="919">
                  <c:v>755.70453742140728</c:v>
                </c:pt>
                <c:pt idx="920">
                  <c:v>755.70453742140728</c:v>
                </c:pt>
                <c:pt idx="921">
                  <c:v>755.70453742140728</c:v>
                </c:pt>
                <c:pt idx="922">
                  <c:v>755.70453742140728</c:v>
                </c:pt>
                <c:pt idx="923">
                  <c:v>755.70453742140728</c:v>
                </c:pt>
                <c:pt idx="924">
                  <c:v>755.70453742140728</c:v>
                </c:pt>
                <c:pt idx="925">
                  <c:v>755.70453742140728</c:v>
                </c:pt>
                <c:pt idx="926">
                  <c:v>755.70453742140728</c:v>
                </c:pt>
                <c:pt idx="927">
                  <c:v>755.70453742140728</c:v>
                </c:pt>
                <c:pt idx="928">
                  <c:v>755.70453742140728</c:v>
                </c:pt>
                <c:pt idx="929">
                  <c:v>755.70453742140728</c:v>
                </c:pt>
                <c:pt idx="930">
                  <c:v>755.70453742140728</c:v>
                </c:pt>
                <c:pt idx="931">
                  <c:v>755.70453742140728</c:v>
                </c:pt>
                <c:pt idx="932">
                  <c:v>755.70453742140728</c:v>
                </c:pt>
                <c:pt idx="933">
                  <c:v>755.70453742140728</c:v>
                </c:pt>
                <c:pt idx="934">
                  <c:v>755.70453742140728</c:v>
                </c:pt>
                <c:pt idx="935">
                  <c:v>755.70453742140728</c:v>
                </c:pt>
                <c:pt idx="936">
                  <c:v>755.70453742140728</c:v>
                </c:pt>
                <c:pt idx="937">
                  <c:v>755.70453742140728</c:v>
                </c:pt>
                <c:pt idx="938">
                  <c:v>755.70453742140728</c:v>
                </c:pt>
                <c:pt idx="939">
                  <c:v>755.70453742140728</c:v>
                </c:pt>
                <c:pt idx="940">
                  <c:v>755.70453742140728</c:v>
                </c:pt>
                <c:pt idx="941">
                  <c:v>755.70453742140728</c:v>
                </c:pt>
                <c:pt idx="942">
                  <c:v>755.70453742140728</c:v>
                </c:pt>
                <c:pt idx="943">
                  <c:v>755.70453742140728</c:v>
                </c:pt>
                <c:pt idx="944">
                  <c:v>755.70453742140728</c:v>
                </c:pt>
                <c:pt idx="945">
                  <c:v>755.70453742140728</c:v>
                </c:pt>
                <c:pt idx="946">
                  <c:v>755.70453742140728</c:v>
                </c:pt>
                <c:pt idx="947">
                  <c:v>755.70453742140728</c:v>
                </c:pt>
                <c:pt idx="948">
                  <c:v>755.70453742140728</c:v>
                </c:pt>
                <c:pt idx="949">
                  <c:v>755.70453742140728</c:v>
                </c:pt>
                <c:pt idx="950">
                  <c:v>755.70453742140728</c:v>
                </c:pt>
                <c:pt idx="951">
                  <c:v>755.70453742140728</c:v>
                </c:pt>
                <c:pt idx="952">
                  <c:v>755.70453742140728</c:v>
                </c:pt>
                <c:pt idx="953">
                  <c:v>755.70453742140728</c:v>
                </c:pt>
                <c:pt idx="954">
                  <c:v>755.70453742140728</c:v>
                </c:pt>
                <c:pt idx="955">
                  <c:v>755.70453742140728</c:v>
                </c:pt>
                <c:pt idx="956">
                  <c:v>755.70453742140728</c:v>
                </c:pt>
                <c:pt idx="957">
                  <c:v>755.70453742140728</c:v>
                </c:pt>
                <c:pt idx="958">
                  <c:v>755.70453742140728</c:v>
                </c:pt>
                <c:pt idx="959">
                  <c:v>755.70453742140728</c:v>
                </c:pt>
                <c:pt idx="960">
                  <c:v>755.70453742140728</c:v>
                </c:pt>
                <c:pt idx="961">
                  <c:v>755.70453742140728</c:v>
                </c:pt>
                <c:pt idx="962">
                  <c:v>755.70453742140728</c:v>
                </c:pt>
                <c:pt idx="963">
                  <c:v>755.70453742140728</c:v>
                </c:pt>
                <c:pt idx="964">
                  <c:v>755.70453742140728</c:v>
                </c:pt>
                <c:pt idx="965">
                  <c:v>755.70453742140728</c:v>
                </c:pt>
                <c:pt idx="966">
                  <c:v>755.70453742140728</c:v>
                </c:pt>
                <c:pt idx="967">
                  <c:v>755.70453742140728</c:v>
                </c:pt>
                <c:pt idx="968">
                  <c:v>755.70453742140728</c:v>
                </c:pt>
                <c:pt idx="969">
                  <c:v>755.70453742140728</c:v>
                </c:pt>
                <c:pt idx="970">
                  <c:v>755.70453742140728</c:v>
                </c:pt>
                <c:pt idx="971">
                  <c:v>755.70453742140728</c:v>
                </c:pt>
                <c:pt idx="972">
                  <c:v>755.70453742140728</c:v>
                </c:pt>
                <c:pt idx="973">
                  <c:v>755.70453742140728</c:v>
                </c:pt>
                <c:pt idx="974">
                  <c:v>755.70453742140728</c:v>
                </c:pt>
                <c:pt idx="975">
                  <c:v>755.70453742140728</c:v>
                </c:pt>
                <c:pt idx="976">
                  <c:v>755.70453742140728</c:v>
                </c:pt>
                <c:pt idx="977">
                  <c:v>755.70453742140728</c:v>
                </c:pt>
                <c:pt idx="978">
                  <c:v>755.70453742140728</c:v>
                </c:pt>
                <c:pt idx="979">
                  <c:v>755.70453742140728</c:v>
                </c:pt>
                <c:pt idx="980">
                  <c:v>755.70453742140728</c:v>
                </c:pt>
                <c:pt idx="981">
                  <c:v>755.70453742140728</c:v>
                </c:pt>
                <c:pt idx="982">
                  <c:v>755.70453742140728</c:v>
                </c:pt>
                <c:pt idx="983">
                  <c:v>755.70453742140728</c:v>
                </c:pt>
                <c:pt idx="984">
                  <c:v>755.70453742140728</c:v>
                </c:pt>
                <c:pt idx="985">
                  <c:v>755.70453742140728</c:v>
                </c:pt>
                <c:pt idx="986">
                  <c:v>755.70453742140728</c:v>
                </c:pt>
                <c:pt idx="987">
                  <c:v>755.70453742140728</c:v>
                </c:pt>
                <c:pt idx="988">
                  <c:v>755.70453742140728</c:v>
                </c:pt>
                <c:pt idx="989">
                  <c:v>755.70453742140728</c:v>
                </c:pt>
                <c:pt idx="990">
                  <c:v>755.70453742140728</c:v>
                </c:pt>
                <c:pt idx="991">
                  <c:v>755.70453742140728</c:v>
                </c:pt>
                <c:pt idx="992">
                  <c:v>755.70453742140728</c:v>
                </c:pt>
                <c:pt idx="993">
                  <c:v>755.70453742140728</c:v>
                </c:pt>
                <c:pt idx="994">
                  <c:v>755.70453742140728</c:v>
                </c:pt>
                <c:pt idx="995">
                  <c:v>755.70453742140728</c:v>
                </c:pt>
                <c:pt idx="996">
                  <c:v>755.70453742140728</c:v>
                </c:pt>
                <c:pt idx="997">
                  <c:v>755.70453742140728</c:v>
                </c:pt>
                <c:pt idx="998">
                  <c:v>755.70453742140728</c:v>
                </c:pt>
                <c:pt idx="999">
                  <c:v>755.70453742140728</c:v>
                </c:pt>
                <c:pt idx="1000">
                  <c:v>755.70453742140728</c:v>
                </c:pt>
              </c:numCache>
            </c:numRef>
          </c:yVal>
          <c:smooth val="0"/>
          <c:extLst>
            <c:ext xmlns:c16="http://schemas.microsoft.com/office/drawing/2014/chart" uri="{C3380CC4-5D6E-409C-BE32-E72D297353CC}">
              <c16:uniqueId val="{00000000-B5CC-4BD6-9E0D-EA30945FB569}"/>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33.600100000000211</c:v>
                </c:pt>
                <c:pt idx="518">
                  <c:v>33.600200000000214</c:v>
                </c:pt>
                <c:pt idx="519">
                  <c:v>33.600300000000217</c:v>
                </c:pt>
                <c:pt idx="520">
                  <c:v>33.600400000000221</c:v>
                </c:pt>
                <c:pt idx="521">
                  <c:v>33.600500000000224</c:v>
                </c:pt>
                <c:pt idx="522">
                  <c:v>33.600600000000227</c:v>
                </c:pt>
                <c:pt idx="523">
                  <c:v>33.600700000000231</c:v>
                </c:pt>
                <c:pt idx="524">
                  <c:v>33.600800000000234</c:v>
                </c:pt>
                <c:pt idx="525">
                  <c:v>33.600900000000237</c:v>
                </c:pt>
                <c:pt idx="526">
                  <c:v>33.601000000000241</c:v>
                </c:pt>
                <c:pt idx="527">
                  <c:v>33.601100000000244</c:v>
                </c:pt>
                <c:pt idx="528">
                  <c:v>33.601200000000247</c:v>
                </c:pt>
                <c:pt idx="529">
                  <c:v>33.601300000000251</c:v>
                </c:pt>
                <c:pt idx="530">
                  <c:v>33.601400000000254</c:v>
                </c:pt>
                <c:pt idx="531">
                  <c:v>33.601500000000257</c:v>
                </c:pt>
                <c:pt idx="532">
                  <c:v>33.601600000000261</c:v>
                </c:pt>
                <c:pt idx="533">
                  <c:v>33.601700000000264</c:v>
                </c:pt>
                <c:pt idx="534">
                  <c:v>33.601800000000267</c:v>
                </c:pt>
                <c:pt idx="535">
                  <c:v>33.601900000000271</c:v>
                </c:pt>
                <c:pt idx="536">
                  <c:v>33.602000000000274</c:v>
                </c:pt>
                <c:pt idx="537">
                  <c:v>33.602100000000277</c:v>
                </c:pt>
                <c:pt idx="538">
                  <c:v>33.602200000000281</c:v>
                </c:pt>
                <c:pt idx="539">
                  <c:v>33.602300000000284</c:v>
                </c:pt>
                <c:pt idx="540">
                  <c:v>33.602400000000287</c:v>
                </c:pt>
                <c:pt idx="541">
                  <c:v>33.60250000000029</c:v>
                </c:pt>
                <c:pt idx="542">
                  <c:v>33.602600000000294</c:v>
                </c:pt>
                <c:pt idx="543">
                  <c:v>33.602700000000297</c:v>
                </c:pt>
                <c:pt idx="544">
                  <c:v>33.6028000000003</c:v>
                </c:pt>
                <c:pt idx="545">
                  <c:v>33.602900000000304</c:v>
                </c:pt>
                <c:pt idx="546">
                  <c:v>33.603000000000307</c:v>
                </c:pt>
                <c:pt idx="547">
                  <c:v>33.60310000000031</c:v>
                </c:pt>
                <c:pt idx="548">
                  <c:v>33.603200000000314</c:v>
                </c:pt>
                <c:pt idx="549">
                  <c:v>33.603300000000317</c:v>
                </c:pt>
                <c:pt idx="550">
                  <c:v>33.60340000000032</c:v>
                </c:pt>
                <c:pt idx="551">
                  <c:v>33.603500000000324</c:v>
                </c:pt>
                <c:pt idx="552">
                  <c:v>33.603600000000327</c:v>
                </c:pt>
                <c:pt idx="553">
                  <c:v>33.60370000000033</c:v>
                </c:pt>
                <c:pt idx="554">
                  <c:v>33.603800000000334</c:v>
                </c:pt>
                <c:pt idx="555">
                  <c:v>33.603900000000337</c:v>
                </c:pt>
                <c:pt idx="556">
                  <c:v>33.60400000000034</c:v>
                </c:pt>
                <c:pt idx="557">
                  <c:v>33.604100000000344</c:v>
                </c:pt>
                <c:pt idx="558">
                  <c:v>33.604200000000347</c:v>
                </c:pt>
                <c:pt idx="559">
                  <c:v>33.60430000000035</c:v>
                </c:pt>
                <c:pt idx="560">
                  <c:v>33.604400000000354</c:v>
                </c:pt>
                <c:pt idx="561">
                  <c:v>33.604500000000357</c:v>
                </c:pt>
                <c:pt idx="562">
                  <c:v>33.60460000000036</c:v>
                </c:pt>
                <c:pt idx="563">
                  <c:v>33.604700000000364</c:v>
                </c:pt>
                <c:pt idx="564">
                  <c:v>33.604800000000367</c:v>
                </c:pt>
                <c:pt idx="565">
                  <c:v>33.60490000000037</c:v>
                </c:pt>
                <c:pt idx="566">
                  <c:v>33.605000000000373</c:v>
                </c:pt>
                <c:pt idx="567">
                  <c:v>33.605100000000377</c:v>
                </c:pt>
                <c:pt idx="568">
                  <c:v>33.60520000000038</c:v>
                </c:pt>
                <c:pt idx="569">
                  <c:v>33.605300000000383</c:v>
                </c:pt>
                <c:pt idx="570">
                  <c:v>33.605400000000387</c:v>
                </c:pt>
                <c:pt idx="571">
                  <c:v>33.60550000000039</c:v>
                </c:pt>
                <c:pt idx="572">
                  <c:v>33.605600000000393</c:v>
                </c:pt>
                <c:pt idx="573">
                  <c:v>33.605700000000397</c:v>
                </c:pt>
                <c:pt idx="574">
                  <c:v>33.6058000000004</c:v>
                </c:pt>
                <c:pt idx="575">
                  <c:v>33.605900000000403</c:v>
                </c:pt>
                <c:pt idx="576">
                  <c:v>33.606000000000407</c:v>
                </c:pt>
                <c:pt idx="577">
                  <c:v>33.60610000000041</c:v>
                </c:pt>
                <c:pt idx="578">
                  <c:v>33.606200000000413</c:v>
                </c:pt>
                <c:pt idx="579">
                  <c:v>33.606300000000417</c:v>
                </c:pt>
                <c:pt idx="580">
                  <c:v>33.60640000000042</c:v>
                </c:pt>
                <c:pt idx="581">
                  <c:v>33.606500000000423</c:v>
                </c:pt>
                <c:pt idx="582">
                  <c:v>33.606600000000427</c:v>
                </c:pt>
                <c:pt idx="583">
                  <c:v>33.60670000000043</c:v>
                </c:pt>
                <c:pt idx="584">
                  <c:v>33.606800000000433</c:v>
                </c:pt>
                <c:pt idx="585">
                  <c:v>33.606900000000437</c:v>
                </c:pt>
                <c:pt idx="586">
                  <c:v>33.60700000000044</c:v>
                </c:pt>
                <c:pt idx="587">
                  <c:v>33.607100000000443</c:v>
                </c:pt>
                <c:pt idx="588">
                  <c:v>33.607200000000446</c:v>
                </c:pt>
                <c:pt idx="589">
                  <c:v>33.60730000000045</c:v>
                </c:pt>
                <c:pt idx="590">
                  <c:v>33.607400000000453</c:v>
                </c:pt>
                <c:pt idx="591">
                  <c:v>33.607500000000456</c:v>
                </c:pt>
                <c:pt idx="592">
                  <c:v>33.60760000000046</c:v>
                </c:pt>
                <c:pt idx="593">
                  <c:v>33.607700000000463</c:v>
                </c:pt>
                <c:pt idx="594">
                  <c:v>33.607800000000466</c:v>
                </c:pt>
                <c:pt idx="595">
                  <c:v>33.60790000000047</c:v>
                </c:pt>
                <c:pt idx="596">
                  <c:v>33.608000000000473</c:v>
                </c:pt>
                <c:pt idx="597">
                  <c:v>33.608100000000476</c:v>
                </c:pt>
                <c:pt idx="598">
                  <c:v>33.60820000000048</c:v>
                </c:pt>
                <c:pt idx="599">
                  <c:v>33.608300000000483</c:v>
                </c:pt>
                <c:pt idx="600">
                  <c:v>33.608400000000486</c:v>
                </c:pt>
                <c:pt idx="601">
                  <c:v>33.60850000000049</c:v>
                </c:pt>
                <c:pt idx="602">
                  <c:v>33.608600000000493</c:v>
                </c:pt>
                <c:pt idx="603">
                  <c:v>33.608700000000496</c:v>
                </c:pt>
                <c:pt idx="604">
                  <c:v>33.6088000000005</c:v>
                </c:pt>
                <c:pt idx="605">
                  <c:v>33.608900000000503</c:v>
                </c:pt>
                <c:pt idx="606">
                  <c:v>33.609000000000506</c:v>
                </c:pt>
                <c:pt idx="607">
                  <c:v>33.60910000000051</c:v>
                </c:pt>
                <c:pt idx="608">
                  <c:v>33.609200000000513</c:v>
                </c:pt>
                <c:pt idx="609">
                  <c:v>33.609300000000516</c:v>
                </c:pt>
                <c:pt idx="610">
                  <c:v>33.60940000000052</c:v>
                </c:pt>
                <c:pt idx="611">
                  <c:v>33.609500000000523</c:v>
                </c:pt>
                <c:pt idx="612">
                  <c:v>33.609600000000526</c:v>
                </c:pt>
                <c:pt idx="613">
                  <c:v>33.609700000000529</c:v>
                </c:pt>
                <c:pt idx="614">
                  <c:v>33.609800000000533</c:v>
                </c:pt>
                <c:pt idx="615">
                  <c:v>33.609900000000536</c:v>
                </c:pt>
                <c:pt idx="616">
                  <c:v>33.610000000000539</c:v>
                </c:pt>
                <c:pt idx="617">
                  <c:v>33.610100000000543</c:v>
                </c:pt>
                <c:pt idx="618">
                  <c:v>33.610200000000546</c:v>
                </c:pt>
                <c:pt idx="619">
                  <c:v>33.610300000000549</c:v>
                </c:pt>
                <c:pt idx="620">
                  <c:v>33.610400000000553</c:v>
                </c:pt>
                <c:pt idx="621">
                  <c:v>33.610500000000556</c:v>
                </c:pt>
                <c:pt idx="622">
                  <c:v>33.610600000000559</c:v>
                </c:pt>
                <c:pt idx="623">
                  <c:v>33.610700000000563</c:v>
                </c:pt>
                <c:pt idx="624">
                  <c:v>33.610800000000566</c:v>
                </c:pt>
                <c:pt idx="625">
                  <c:v>33.610900000000569</c:v>
                </c:pt>
                <c:pt idx="626">
                  <c:v>33.611000000000573</c:v>
                </c:pt>
                <c:pt idx="627">
                  <c:v>33.611100000000576</c:v>
                </c:pt>
                <c:pt idx="628">
                  <c:v>33.611200000000579</c:v>
                </c:pt>
                <c:pt idx="629">
                  <c:v>33.611300000000583</c:v>
                </c:pt>
                <c:pt idx="630">
                  <c:v>33.611400000000586</c:v>
                </c:pt>
                <c:pt idx="631">
                  <c:v>33.611500000000589</c:v>
                </c:pt>
                <c:pt idx="632">
                  <c:v>33.611600000000593</c:v>
                </c:pt>
                <c:pt idx="633">
                  <c:v>33.611700000000596</c:v>
                </c:pt>
                <c:pt idx="634">
                  <c:v>33.611800000000599</c:v>
                </c:pt>
                <c:pt idx="635">
                  <c:v>33.611900000000603</c:v>
                </c:pt>
                <c:pt idx="636">
                  <c:v>33.612000000000606</c:v>
                </c:pt>
                <c:pt idx="637">
                  <c:v>33.612100000000609</c:v>
                </c:pt>
                <c:pt idx="638">
                  <c:v>33.612200000000612</c:v>
                </c:pt>
                <c:pt idx="639">
                  <c:v>33.612300000000616</c:v>
                </c:pt>
                <c:pt idx="640">
                  <c:v>33.612400000000619</c:v>
                </c:pt>
                <c:pt idx="641">
                  <c:v>33.612500000000622</c:v>
                </c:pt>
                <c:pt idx="642">
                  <c:v>33.612600000000626</c:v>
                </c:pt>
                <c:pt idx="643">
                  <c:v>33.612700000000629</c:v>
                </c:pt>
                <c:pt idx="644">
                  <c:v>33.612800000000632</c:v>
                </c:pt>
                <c:pt idx="645">
                  <c:v>33.612900000000636</c:v>
                </c:pt>
                <c:pt idx="646">
                  <c:v>33.613000000000639</c:v>
                </c:pt>
                <c:pt idx="647">
                  <c:v>33.613100000000642</c:v>
                </c:pt>
                <c:pt idx="648">
                  <c:v>33.613200000000646</c:v>
                </c:pt>
                <c:pt idx="649">
                  <c:v>33.613300000000649</c:v>
                </c:pt>
                <c:pt idx="650">
                  <c:v>33.613400000000652</c:v>
                </c:pt>
                <c:pt idx="651">
                  <c:v>33.613500000000656</c:v>
                </c:pt>
                <c:pt idx="652">
                  <c:v>33.613600000000659</c:v>
                </c:pt>
                <c:pt idx="653">
                  <c:v>33.613700000000662</c:v>
                </c:pt>
                <c:pt idx="654">
                  <c:v>33.613800000000666</c:v>
                </c:pt>
                <c:pt idx="655">
                  <c:v>33.613900000000669</c:v>
                </c:pt>
                <c:pt idx="656">
                  <c:v>33.614000000000672</c:v>
                </c:pt>
                <c:pt idx="657">
                  <c:v>33.614100000000676</c:v>
                </c:pt>
                <c:pt idx="658">
                  <c:v>33.614200000000679</c:v>
                </c:pt>
                <c:pt idx="659">
                  <c:v>33.614300000000682</c:v>
                </c:pt>
                <c:pt idx="660">
                  <c:v>33.614400000000686</c:v>
                </c:pt>
                <c:pt idx="661">
                  <c:v>33.614500000000689</c:v>
                </c:pt>
                <c:pt idx="662">
                  <c:v>33.614600000000692</c:v>
                </c:pt>
                <c:pt idx="663">
                  <c:v>33.614700000000695</c:v>
                </c:pt>
                <c:pt idx="664">
                  <c:v>33.614800000000699</c:v>
                </c:pt>
                <c:pt idx="665">
                  <c:v>33.614900000000702</c:v>
                </c:pt>
                <c:pt idx="666">
                  <c:v>33.615000000000705</c:v>
                </c:pt>
                <c:pt idx="667">
                  <c:v>33.615100000000709</c:v>
                </c:pt>
                <c:pt idx="668">
                  <c:v>33.615200000000712</c:v>
                </c:pt>
                <c:pt idx="669">
                  <c:v>33.615300000000715</c:v>
                </c:pt>
                <c:pt idx="670">
                  <c:v>33.615400000000719</c:v>
                </c:pt>
                <c:pt idx="671">
                  <c:v>33.615500000000722</c:v>
                </c:pt>
                <c:pt idx="672">
                  <c:v>33.615600000000725</c:v>
                </c:pt>
                <c:pt idx="673">
                  <c:v>33.615700000000729</c:v>
                </c:pt>
                <c:pt idx="674">
                  <c:v>33.615800000000732</c:v>
                </c:pt>
                <c:pt idx="675">
                  <c:v>33.615900000000735</c:v>
                </c:pt>
                <c:pt idx="676">
                  <c:v>33.616000000000739</c:v>
                </c:pt>
                <c:pt idx="677">
                  <c:v>33.616100000000742</c:v>
                </c:pt>
                <c:pt idx="678">
                  <c:v>33.616200000000745</c:v>
                </c:pt>
                <c:pt idx="679">
                  <c:v>33.616300000000749</c:v>
                </c:pt>
                <c:pt idx="680">
                  <c:v>33.616400000000752</c:v>
                </c:pt>
                <c:pt idx="681">
                  <c:v>33.616500000000755</c:v>
                </c:pt>
                <c:pt idx="682">
                  <c:v>33.616600000000759</c:v>
                </c:pt>
                <c:pt idx="683">
                  <c:v>33.616700000000762</c:v>
                </c:pt>
                <c:pt idx="684">
                  <c:v>33.616800000000765</c:v>
                </c:pt>
                <c:pt idx="685">
                  <c:v>33.616900000000769</c:v>
                </c:pt>
                <c:pt idx="686">
                  <c:v>33.617000000000772</c:v>
                </c:pt>
                <c:pt idx="687">
                  <c:v>33.617100000000775</c:v>
                </c:pt>
                <c:pt idx="688">
                  <c:v>33.617200000000778</c:v>
                </c:pt>
                <c:pt idx="689">
                  <c:v>33.617300000000782</c:v>
                </c:pt>
                <c:pt idx="690">
                  <c:v>33.617400000000785</c:v>
                </c:pt>
                <c:pt idx="691">
                  <c:v>33.617500000000788</c:v>
                </c:pt>
                <c:pt idx="692">
                  <c:v>33.617600000000792</c:v>
                </c:pt>
                <c:pt idx="693">
                  <c:v>33.617700000000795</c:v>
                </c:pt>
                <c:pt idx="694">
                  <c:v>33.617800000000798</c:v>
                </c:pt>
                <c:pt idx="695">
                  <c:v>33.617900000000802</c:v>
                </c:pt>
                <c:pt idx="696">
                  <c:v>33.618000000000805</c:v>
                </c:pt>
                <c:pt idx="697">
                  <c:v>33.618100000000808</c:v>
                </c:pt>
                <c:pt idx="698">
                  <c:v>33.618200000000812</c:v>
                </c:pt>
                <c:pt idx="699">
                  <c:v>33.618300000000815</c:v>
                </c:pt>
                <c:pt idx="700">
                  <c:v>33.618400000000818</c:v>
                </c:pt>
                <c:pt idx="701">
                  <c:v>33.618500000000822</c:v>
                </c:pt>
                <c:pt idx="702">
                  <c:v>33.618600000000825</c:v>
                </c:pt>
                <c:pt idx="703">
                  <c:v>33.618700000000828</c:v>
                </c:pt>
                <c:pt idx="704">
                  <c:v>33.618800000000832</c:v>
                </c:pt>
                <c:pt idx="705">
                  <c:v>33.618900000000835</c:v>
                </c:pt>
                <c:pt idx="706">
                  <c:v>33.619000000000838</c:v>
                </c:pt>
                <c:pt idx="707">
                  <c:v>33.619100000000842</c:v>
                </c:pt>
                <c:pt idx="708">
                  <c:v>33.619200000000845</c:v>
                </c:pt>
                <c:pt idx="709">
                  <c:v>33.619300000000848</c:v>
                </c:pt>
                <c:pt idx="710">
                  <c:v>33.619400000000851</c:v>
                </c:pt>
                <c:pt idx="711">
                  <c:v>33.619500000000855</c:v>
                </c:pt>
                <c:pt idx="712">
                  <c:v>33.619600000000858</c:v>
                </c:pt>
                <c:pt idx="713">
                  <c:v>33.619700000000861</c:v>
                </c:pt>
                <c:pt idx="714">
                  <c:v>33.619800000000865</c:v>
                </c:pt>
                <c:pt idx="715">
                  <c:v>33.619900000000868</c:v>
                </c:pt>
                <c:pt idx="716">
                  <c:v>33.620000000000871</c:v>
                </c:pt>
                <c:pt idx="717">
                  <c:v>33.620100000000875</c:v>
                </c:pt>
                <c:pt idx="718">
                  <c:v>33.620200000000878</c:v>
                </c:pt>
                <c:pt idx="719">
                  <c:v>33.620300000000881</c:v>
                </c:pt>
                <c:pt idx="720">
                  <c:v>33.620400000000885</c:v>
                </c:pt>
                <c:pt idx="721">
                  <c:v>33.620500000000888</c:v>
                </c:pt>
                <c:pt idx="722">
                  <c:v>33.620600000000891</c:v>
                </c:pt>
                <c:pt idx="723">
                  <c:v>33.620700000000895</c:v>
                </c:pt>
                <c:pt idx="724">
                  <c:v>33.620800000000898</c:v>
                </c:pt>
                <c:pt idx="725">
                  <c:v>33.620900000000901</c:v>
                </c:pt>
                <c:pt idx="726">
                  <c:v>33.621000000000905</c:v>
                </c:pt>
                <c:pt idx="727">
                  <c:v>33.621100000000908</c:v>
                </c:pt>
                <c:pt idx="728">
                  <c:v>33.621200000000911</c:v>
                </c:pt>
                <c:pt idx="729">
                  <c:v>33.621300000000915</c:v>
                </c:pt>
                <c:pt idx="730">
                  <c:v>33.621400000000918</c:v>
                </c:pt>
                <c:pt idx="731">
                  <c:v>33.621500000000921</c:v>
                </c:pt>
                <c:pt idx="732">
                  <c:v>33.621600000000925</c:v>
                </c:pt>
                <c:pt idx="733">
                  <c:v>33.621700000000928</c:v>
                </c:pt>
                <c:pt idx="734">
                  <c:v>33.621800000000931</c:v>
                </c:pt>
                <c:pt idx="735">
                  <c:v>33.621900000000934</c:v>
                </c:pt>
                <c:pt idx="736">
                  <c:v>33.622000000000938</c:v>
                </c:pt>
                <c:pt idx="737">
                  <c:v>33.622100000000941</c:v>
                </c:pt>
                <c:pt idx="738">
                  <c:v>33.622200000000944</c:v>
                </c:pt>
                <c:pt idx="739">
                  <c:v>33.622300000000948</c:v>
                </c:pt>
                <c:pt idx="740">
                  <c:v>33.622400000000951</c:v>
                </c:pt>
                <c:pt idx="741">
                  <c:v>33.622500000000954</c:v>
                </c:pt>
                <c:pt idx="742">
                  <c:v>33.622600000000958</c:v>
                </c:pt>
                <c:pt idx="743">
                  <c:v>33.622700000000961</c:v>
                </c:pt>
                <c:pt idx="744">
                  <c:v>33.622800000000964</c:v>
                </c:pt>
                <c:pt idx="745">
                  <c:v>33.622900000000968</c:v>
                </c:pt>
                <c:pt idx="746">
                  <c:v>33.623000000000971</c:v>
                </c:pt>
                <c:pt idx="747">
                  <c:v>33.623100000000974</c:v>
                </c:pt>
                <c:pt idx="748">
                  <c:v>33.623200000000978</c:v>
                </c:pt>
                <c:pt idx="749">
                  <c:v>33.623300000000981</c:v>
                </c:pt>
                <c:pt idx="750">
                  <c:v>33.623400000000984</c:v>
                </c:pt>
                <c:pt idx="751">
                  <c:v>33.623500000000988</c:v>
                </c:pt>
                <c:pt idx="752">
                  <c:v>33.623600000000991</c:v>
                </c:pt>
                <c:pt idx="753">
                  <c:v>33.623700000000994</c:v>
                </c:pt>
                <c:pt idx="754">
                  <c:v>33.623800000000998</c:v>
                </c:pt>
                <c:pt idx="755">
                  <c:v>33.623900000001001</c:v>
                </c:pt>
                <c:pt idx="756">
                  <c:v>33.624000000001004</c:v>
                </c:pt>
                <c:pt idx="757">
                  <c:v>33.624100000001008</c:v>
                </c:pt>
                <c:pt idx="758">
                  <c:v>33.624200000001011</c:v>
                </c:pt>
                <c:pt idx="759">
                  <c:v>33.624300000001014</c:v>
                </c:pt>
                <c:pt idx="760">
                  <c:v>33.624400000001017</c:v>
                </c:pt>
                <c:pt idx="761">
                  <c:v>33.624500000001021</c:v>
                </c:pt>
                <c:pt idx="762">
                  <c:v>33.624600000001024</c:v>
                </c:pt>
                <c:pt idx="763">
                  <c:v>33.624700000001027</c:v>
                </c:pt>
                <c:pt idx="764">
                  <c:v>33.624800000001031</c:v>
                </c:pt>
                <c:pt idx="765">
                  <c:v>33.624900000001034</c:v>
                </c:pt>
                <c:pt idx="766">
                  <c:v>33.625000000001037</c:v>
                </c:pt>
                <c:pt idx="767">
                  <c:v>33.625100000001041</c:v>
                </c:pt>
                <c:pt idx="768">
                  <c:v>33.625200000001044</c:v>
                </c:pt>
                <c:pt idx="769">
                  <c:v>33.625300000001047</c:v>
                </c:pt>
                <c:pt idx="770">
                  <c:v>33.625400000001051</c:v>
                </c:pt>
                <c:pt idx="771">
                  <c:v>33.625500000001054</c:v>
                </c:pt>
                <c:pt idx="772">
                  <c:v>33.625600000001057</c:v>
                </c:pt>
                <c:pt idx="773">
                  <c:v>33.625700000001061</c:v>
                </c:pt>
                <c:pt idx="774">
                  <c:v>33.625800000001064</c:v>
                </c:pt>
                <c:pt idx="775">
                  <c:v>33.625900000001067</c:v>
                </c:pt>
                <c:pt idx="776">
                  <c:v>33.626000000001071</c:v>
                </c:pt>
                <c:pt idx="777">
                  <c:v>33.626100000001074</c:v>
                </c:pt>
                <c:pt idx="778">
                  <c:v>33.626200000001077</c:v>
                </c:pt>
                <c:pt idx="779">
                  <c:v>33.626300000001081</c:v>
                </c:pt>
                <c:pt idx="780">
                  <c:v>33.626400000001084</c:v>
                </c:pt>
                <c:pt idx="781">
                  <c:v>33.626500000001087</c:v>
                </c:pt>
                <c:pt idx="782">
                  <c:v>33.626600000001091</c:v>
                </c:pt>
                <c:pt idx="783">
                  <c:v>33.626700000001094</c:v>
                </c:pt>
                <c:pt idx="784">
                  <c:v>33.626800000001097</c:v>
                </c:pt>
                <c:pt idx="785">
                  <c:v>33.6269000000011</c:v>
                </c:pt>
                <c:pt idx="786">
                  <c:v>33.627000000001104</c:v>
                </c:pt>
                <c:pt idx="787">
                  <c:v>33.627100000001107</c:v>
                </c:pt>
                <c:pt idx="788">
                  <c:v>33.62720000000111</c:v>
                </c:pt>
                <c:pt idx="789">
                  <c:v>33.627300000001114</c:v>
                </c:pt>
                <c:pt idx="790">
                  <c:v>33.627400000001117</c:v>
                </c:pt>
                <c:pt idx="791">
                  <c:v>33.62750000000112</c:v>
                </c:pt>
                <c:pt idx="792">
                  <c:v>33.627600000001124</c:v>
                </c:pt>
                <c:pt idx="793">
                  <c:v>33.627700000001127</c:v>
                </c:pt>
                <c:pt idx="794">
                  <c:v>33.62780000000113</c:v>
                </c:pt>
                <c:pt idx="795">
                  <c:v>33.627900000001134</c:v>
                </c:pt>
                <c:pt idx="796">
                  <c:v>33.628000000001137</c:v>
                </c:pt>
                <c:pt idx="797">
                  <c:v>33.62810000000114</c:v>
                </c:pt>
                <c:pt idx="798">
                  <c:v>33.628200000001144</c:v>
                </c:pt>
                <c:pt idx="799">
                  <c:v>33.628300000001147</c:v>
                </c:pt>
                <c:pt idx="800">
                  <c:v>33.62840000000115</c:v>
                </c:pt>
                <c:pt idx="801">
                  <c:v>33.628500000001154</c:v>
                </c:pt>
                <c:pt idx="802">
                  <c:v>33.628600000001157</c:v>
                </c:pt>
                <c:pt idx="803">
                  <c:v>33.62870000000116</c:v>
                </c:pt>
                <c:pt idx="804">
                  <c:v>33.628800000001164</c:v>
                </c:pt>
                <c:pt idx="805">
                  <c:v>33.628900000001167</c:v>
                </c:pt>
                <c:pt idx="806">
                  <c:v>33.62900000000117</c:v>
                </c:pt>
                <c:pt idx="807">
                  <c:v>33.629100000001173</c:v>
                </c:pt>
                <c:pt idx="808">
                  <c:v>33.629200000001177</c:v>
                </c:pt>
                <c:pt idx="809">
                  <c:v>33.62930000000118</c:v>
                </c:pt>
                <c:pt idx="810">
                  <c:v>33.629400000001183</c:v>
                </c:pt>
                <c:pt idx="811">
                  <c:v>33.629500000001187</c:v>
                </c:pt>
                <c:pt idx="812">
                  <c:v>33.62960000000119</c:v>
                </c:pt>
                <c:pt idx="813">
                  <c:v>33.629700000001193</c:v>
                </c:pt>
                <c:pt idx="814">
                  <c:v>33.629800000001197</c:v>
                </c:pt>
                <c:pt idx="815">
                  <c:v>33.6299000000012</c:v>
                </c:pt>
                <c:pt idx="816">
                  <c:v>33.630000000001203</c:v>
                </c:pt>
                <c:pt idx="817">
                  <c:v>33.630100000001207</c:v>
                </c:pt>
                <c:pt idx="818">
                  <c:v>33.63020000000121</c:v>
                </c:pt>
                <c:pt idx="819">
                  <c:v>33.630300000001213</c:v>
                </c:pt>
                <c:pt idx="820">
                  <c:v>33.630400000001217</c:v>
                </c:pt>
                <c:pt idx="821">
                  <c:v>33.63050000000122</c:v>
                </c:pt>
                <c:pt idx="822">
                  <c:v>33.630600000001223</c:v>
                </c:pt>
                <c:pt idx="823">
                  <c:v>33.630700000001227</c:v>
                </c:pt>
                <c:pt idx="824">
                  <c:v>33.63080000000123</c:v>
                </c:pt>
                <c:pt idx="825">
                  <c:v>33.630900000001233</c:v>
                </c:pt>
                <c:pt idx="826">
                  <c:v>33.631000000001237</c:v>
                </c:pt>
                <c:pt idx="827">
                  <c:v>33.63110000000124</c:v>
                </c:pt>
                <c:pt idx="828">
                  <c:v>33.631200000001243</c:v>
                </c:pt>
                <c:pt idx="829">
                  <c:v>33.631300000001247</c:v>
                </c:pt>
                <c:pt idx="830">
                  <c:v>33.63140000000125</c:v>
                </c:pt>
                <c:pt idx="831">
                  <c:v>33.631500000001253</c:v>
                </c:pt>
                <c:pt idx="832">
                  <c:v>33.631600000001256</c:v>
                </c:pt>
                <c:pt idx="833">
                  <c:v>33.63170000000126</c:v>
                </c:pt>
                <c:pt idx="834">
                  <c:v>33.631800000001263</c:v>
                </c:pt>
                <c:pt idx="835">
                  <c:v>33.631900000001266</c:v>
                </c:pt>
                <c:pt idx="836">
                  <c:v>33.63200000000127</c:v>
                </c:pt>
                <c:pt idx="837">
                  <c:v>33.632100000001273</c:v>
                </c:pt>
                <c:pt idx="838">
                  <c:v>33.632200000001276</c:v>
                </c:pt>
                <c:pt idx="839">
                  <c:v>33.63230000000128</c:v>
                </c:pt>
                <c:pt idx="840">
                  <c:v>33.632400000001283</c:v>
                </c:pt>
                <c:pt idx="841">
                  <c:v>33.632500000001286</c:v>
                </c:pt>
                <c:pt idx="842">
                  <c:v>33.63260000000129</c:v>
                </c:pt>
                <c:pt idx="843">
                  <c:v>33.632700000001293</c:v>
                </c:pt>
                <c:pt idx="844">
                  <c:v>33.632800000001296</c:v>
                </c:pt>
                <c:pt idx="845">
                  <c:v>33.6329000000013</c:v>
                </c:pt>
                <c:pt idx="846">
                  <c:v>33.633000000001303</c:v>
                </c:pt>
                <c:pt idx="847">
                  <c:v>33.633100000001306</c:v>
                </c:pt>
                <c:pt idx="848">
                  <c:v>33.63320000000131</c:v>
                </c:pt>
                <c:pt idx="849">
                  <c:v>33.633300000001313</c:v>
                </c:pt>
                <c:pt idx="850">
                  <c:v>33.633400000001316</c:v>
                </c:pt>
                <c:pt idx="851">
                  <c:v>33.63350000000132</c:v>
                </c:pt>
                <c:pt idx="852">
                  <c:v>33.633600000001323</c:v>
                </c:pt>
                <c:pt idx="853">
                  <c:v>33.633700000001326</c:v>
                </c:pt>
                <c:pt idx="854">
                  <c:v>33.63380000000133</c:v>
                </c:pt>
                <c:pt idx="855">
                  <c:v>33.633900000001333</c:v>
                </c:pt>
                <c:pt idx="856">
                  <c:v>33.634000000001336</c:v>
                </c:pt>
                <c:pt idx="857">
                  <c:v>33.634100000001339</c:v>
                </c:pt>
                <c:pt idx="858">
                  <c:v>33.634200000001343</c:v>
                </c:pt>
                <c:pt idx="859">
                  <c:v>33.634300000001346</c:v>
                </c:pt>
                <c:pt idx="860">
                  <c:v>33.634400000001349</c:v>
                </c:pt>
                <c:pt idx="861">
                  <c:v>33.634500000001353</c:v>
                </c:pt>
                <c:pt idx="862">
                  <c:v>33.634600000001356</c:v>
                </c:pt>
                <c:pt idx="863">
                  <c:v>33.634700000001359</c:v>
                </c:pt>
                <c:pt idx="864">
                  <c:v>33.634800000001363</c:v>
                </c:pt>
                <c:pt idx="865">
                  <c:v>33.634900000001366</c:v>
                </c:pt>
                <c:pt idx="866">
                  <c:v>33.635000000001369</c:v>
                </c:pt>
                <c:pt idx="867">
                  <c:v>33.635100000001373</c:v>
                </c:pt>
                <c:pt idx="868">
                  <c:v>33.635200000001376</c:v>
                </c:pt>
                <c:pt idx="869">
                  <c:v>33.635300000001379</c:v>
                </c:pt>
                <c:pt idx="870">
                  <c:v>33.635400000001383</c:v>
                </c:pt>
                <c:pt idx="871">
                  <c:v>33.635500000001386</c:v>
                </c:pt>
                <c:pt idx="872">
                  <c:v>33.635600000001389</c:v>
                </c:pt>
                <c:pt idx="873">
                  <c:v>33.635700000001393</c:v>
                </c:pt>
                <c:pt idx="874">
                  <c:v>33.635800000001396</c:v>
                </c:pt>
                <c:pt idx="875">
                  <c:v>33.635900000001399</c:v>
                </c:pt>
                <c:pt idx="876">
                  <c:v>33.636000000001403</c:v>
                </c:pt>
                <c:pt idx="877">
                  <c:v>33.636100000001406</c:v>
                </c:pt>
                <c:pt idx="878">
                  <c:v>33.636200000001409</c:v>
                </c:pt>
                <c:pt idx="879">
                  <c:v>33.636300000001413</c:v>
                </c:pt>
                <c:pt idx="880">
                  <c:v>33.636400000001416</c:v>
                </c:pt>
                <c:pt idx="881">
                  <c:v>33.636500000001419</c:v>
                </c:pt>
                <c:pt idx="882">
                  <c:v>33.636600000001422</c:v>
                </c:pt>
                <c:pt idx="883">
                  <c:v>33.636700000001426</c:v>
                </c:pt>
                <c:pt idx="884">
                  <c:v>33.636800000001429</c:v>
                </c:pt>
                <c:pt idx="885">
                  <c:v>33.636900000001432</c:v>
                </c:pt>
                <c:pt idx="886">
                  <c:v>33.637000000001436</c:v>
                </c:pt>
                <c:pt idx="887">
                  <c:v>33.637100000001439</c:v>
                </c:pt>
                <c:pt idx="888">
                  <c:v>33.637200000001442</c:v>
                </c:pt>
                <c:pt idx="889">
                  <c:v>33.637300000001446</c:v>
                </c:pt>
                <c:pt idx="890">
                  <c:v>33.637400000001449</c:v>
                </c:pt>
                <c:pt idx="891">
                  <c:v>33.637500000001452</c:v>
                </c:pt>
                <c:pt idx="892">
                  <c:v>33.637600000001456</c:v>
                </c:pt>
                <c:pt idx="893">
                  <c:v>33.637700000001459</c:v>
                </c:pt>
                <c:pt idx="894">
                  <c:v>33.637800000001462</c:v>
                </c:pt>
                <c:pt idx="895">
                  <c:v>33.637900000001466</c:v>
                </c:pt>
                <c:pt idx="896">
                  <c:v>33.638000000001469</c:v>
                </c:pt>
                <c:pt idx="897">
                  <c:v>33.638100000001472</c:v>
                </c:pt>
                <c:pt idx="898">
                  <c:v>33.638200000001476</c:v>
                </c:pt>
                <c:pt idx="899">
                  <c:v>33.638300000001479</c:v>
                </c:pt>
                <c:pt idx="900">
                  <c:v>33.638400000001482</c:v>
                </c:pt>
                <c:pt idx="901">
                  <c:v>33.638500000001486</c:v>
                </c:pt>
                <c:pt idx="902">
                  <c:v>33.638600000001489</c:v>
                </c:pt>
                <c:pt idx="903">
                  <c:v>33.638700000001492</c:v>
                </c:pt>
                <c:pt idx="904">
                  <c:v>33.638800000001496</c:v>
                </c:pt>
                <c:pt idx="905">
                  <c:v>33.638900000001499</c:v>
                </c:pt>
                <c:pt idx="906">
                  <c:v>33.639000000001502</c:v>
                </c:pt>
                <c:pt idx="907">
                  <c:v>33.639100000001505</c:v>
                </c:pt>
                <c:pt idx="908">
                  <c:v>33.639200000001509</c:v>
                </c:pt>
                <c:pt idx="909">
                  <c:v>33.639300000001512</c:v>
                </c:pt>
                <c:pt idx="910">
                  <c:v>33.639400000001515</c:v>
                </c:pt>
                <c:pt idx="911">
                  <c:v>33.639500000001519</c:v>
                </c:pt>
                <c:pt idx="912">
                  <c:v>33.639600000001522</c:v>
                </c:pt>
                <c:pt idx="913">
                  <c:v>33.639700000001525</c:v>
                </c:pt>
                <c:pt idx="914">
                  <c:v>33.639800000001529</c:v>
                </c:pt>
                <c:pt idx="915">
                  <c:v>33.639900000001532</c:v>
                </c:pt>
                <c:pt idx="916">
                  <c:v>33.640000000001535</c:v>
                </c:pt>
                <c:pt idx="917">
                  <c:v>33.640100000001539</c:v>
                </c:pt>
                <c:pt idx="918">
                  <c:v>33.640200000001542</c:v>
                </c:pt>
                <c:pt idx="919">
                  <c:v>33.640300000001545</c:v>
                </c:pt>
                <c:pt idx="920">
                  <c:v>33.640400000001549</c:v>
                </c:pt>
                <c:pt idx="921">
                  <c:v>33.640500000001552</c:v>
                </c:pt>
                <c:pt idx="922">
                  <c:v>33.640600000001555</c:v>
                </c:pt>
                <c:pt idx="923">
                  <c:v>33.640700000001559</c:v>
                </c:pt>
                <c:pt idx="924">
                  <c:v>33.640800000001562</c:v>
                </c:pt>
                <c:pt idx="925">
                  <c:v>33.640900000001565</c:v>
                </c:pt>
                <c:pt idx="926">
                  <c:v>33.641000000001569</c:v>
                </c:pt>
                <c:pt idx="927">
                  <c:v>33.641100000001572</c:v>
                </c:pt>
                <c:pt idx="928">
                  <c:v>33.641200000001575</c:v>
                </c:pt>
                <c:pt idx="929">
                  <c:v>33.641300000001578</c:v>
                </c:pt>
                <c:pt idx="930">
                  <c:v>33.641400000001582</c:v>
                </c:pt>
                <c:pt idx="931">
                  <c:v>33.641500000001585</c:v>
                </c:pt>
                <c:pt idx="932">
                  <c:v>33.641600000001588</c:v>
                </c:pt>
                <c:pt idx="933">
                  <c:v>33.641700000001592</c:v>
                </c:pt>
                <c:pt idx="934">
                  <c:v>33.641800000001595</c:v>
                </c:pt>
                <c:pt idx="935">
                  <c:v>33.641900000001598</c:v>
                </c:pt>
                <c:pt idx="936">
                  <c:v>33.642000000001602</c:v>
                </c:pt>
                <c:pt idx="937">
                  <c:v>33.642100000001605</c:v>
                </c:pt>
                <c:pt idx="938">
                  <c:v>33.642200000001608</c:v>
                </c:pt>
                <c:pt idx="939">
                  <c:v>33.642300000001612</c:v>
                </c:pt>
                <c:pt idx="940">
                  <c:v>33.642400000001615</c:v>
                </c:pt>
                <c:pt idx="941">
                  <c:v>33.642500000001618</c:v>
                </c:pt>
                <c:pt idx="942">
                  <c:v>33.642600000001622</c:v>
                </c:pt>
                <c:pt idx="943">
                  <c:v>33.642700000001625</c:v>
                </c:pt>
                <c:pt idx="944">
                  <c:v>33.642800000001628</c:v>
                </c:pt>
                <c:pt idx="945">
                  <c:v>33.642900000001632</c:v>
                </c:pt>
                <c:pt idx="946">
                  <c:v>33.643000000001635</c:v>
                </c:pt>
                <c:pt idx="947">
                  <c:v>33.643100000001638</c:v>
                </c:pt>
                <c:pt idx="948">
                  <c:v>33.643200000001642</c:v>
                </c:pt>
                <c:pt idx="949">
                  <c:v>33.643300000001645</c:v>
                </c:pt>
                <c:pt idx="950">
                  <c:v>33.643400000001648</c:v>
                </c:pt>
                <c:pt idx="951">
                  <c:v>33.643500000001652</c:v>
                </c:pt>
                <c:pt idx="952">
                  <c:v>33.643600000001655</c:v>
                </c:pt>
                <c:pt idx="953">
                  <c:v>33.643700000001658</c:v>
                </c:pt>
                <c:pt idx="954">
                  <c:v>33.643800000001661</c:v>
                </c:pt>
                <c:pt idx="955">
                  <c:v>33.643900000001665</c:v>
                </c:pt>
                <c:pt idx="956">
                  <c:v>33.644000000001668</c:v>
                </c:pt>
                <c:pt idx="957">
                  <c:v>33.644100000001671</c:v>
                </c:pt>
                <c:pt idx="958">
                  <c:v>33.644200000001675</c:v>
                </c:pt>
                <c:pt idx="959">
                  <c:v>33.644300000001678</c:v>
                </c:pt>
                <c:pt idx="960">
                  <c:v>33.644400000001681</c:v>
                </c:pt>
                <c:pt idx="961">
                  <c:v>33.644500000001685</c:v>
                </c:pt>
                <c:pt idx="962">
                  <c:v>33.644600000001688</c:v>
                </c:pt>
                <c:pt idx="963">
                  <c:v>33.644700000001691</c:v>
                </c:pt>
                <c:pt idx="964">
                  <c:v>33.644800000001695</c:v>
                </c:pt>
                <c:pt idx="965">
                  <c:v>33.644900000001698</c:v>
                </c:pt>
                <c:pt idx="966">
                  <c:v>33.645000000001701</c:v>
                </c:pt>
                <c:pt idx="967">
                  <c:v>33.645100000001705</c:v>
                </c:pt>
                <c:pt idx="968">
                  <c:v>33.645200000001708</c:v>
                </c:pt>
                <c:pt idx="969">
                  <c:v>33.645300000001711</c:v>
                </c:pt>
                <c:pt idx="970">
                  <c:v>33.645400000001715</c:v>
                </c:pt>
                <c:pt idx="971">
                  <c:v>33.645500000001718</c:v>
                </c:pt>
                <c:pt idx="972">
                  <c:v>33.645600000001721</c:v>
                </c:pt>
                <c:pt idx="973">
                  <c:v>33.645700000001725</c:v>
                </c:pt>
                <c:pt idx="974">
                  <c:v>33.645800000001728</c:v>
                </c:pt>
                <c:pt idx="975">
                  <c:v>33.645900000001731</c:v>
                </c:pt>
                <c:pt idx="976">
                  <c:v>33.646000000001735</c:v>
                </c:pt>
                <c:pt idx="977">
                  <c:v>33.646100000001738</c:v>
                </c:pt>
                <c:pt idx="978">
                  <c:v>33.646200000001741</c:v>
                </c:pt>
                <c:pt idx="979">
                  <c:v>33.646300000001744</c:v>
                </c:pt>
                <c:pt idx="980">
                  <c:v>33.646400000001748</c:v>
                </c:pt>
                <c:pt idx="981">
                  <c:v>33.646500000001751</c:v>
                </c:pt>
                <c:pt idx="982">
                  <c:v>33.646600000001754</c:v>
                </c:pt>
                <c:pt idx="983">
                  <c:v>33.646700000001758</c:v>
                </c:pt>
                <c:pt idx="984">
                  <c:v>33.646800000001761</c:v>
                </c:pt>
                <c:pt idx="985">
                  <c:v>33.646900000001764</c:v>
                </c:pt>
                <c:pt idx="986">
                  <c:v>33.647000000001768</c:v>
                </c:pt>
                <c:pt idx="987">
                  <c:v>33.647100000001771</c:v>
                </c:pt>
                <c:pt idx="988">
                  <c:v>33.647200000001774</c:v>
                </c:pt>
                <c:pt idx="989">
                  <c:v>33.647300000001778</c:v>
                </c:pt>
                <c:pt idx="990">
                  <c:v>33.647400000001781</c:v>
                </c:pt>
                <c:pt idx="991">
                  <c:v>33.647500000001784</c:v>
                </c:pt>
                <c:pt idx="992">
                  <c:v>33.647600000001788</c:v>
                </c:pt>
                <c:pt idx="993">
                  <c:v>33.647700000001791</c:v>
                </c:pt>
                <c:pt idx="994">
                  <c:v>33.647800000001794</c:v>
                </c:pt>
                <c:pt idx="995">
                  <c:v>33.647900000001798</c:v>
                </c:pt>
                <c:pt idx="996">
                  <c:v>33.648000000001801</c:v>
                </c:pt>
                <c:pt idx="997">
                  <c:v>33.648100000001804</c:v>
                </c:pt>
                <c:pt idx="998">
                  <c:v>33.648200000001808</c:v>
                </c:pt>
                <c:pt idx="999">
                  <c:v>33.648300000001811</c:v>
                </c:pt>
                <c:pt idx="1000">
                  <c:v>33.648400000001814</c:v>
                </c:pt>
              </c:numCache>
            </c:numRef>
          </c:xVal>
          <c:yVal>
            <c:numRef>
              <c:f>Calculs!$K$4:$K$1004</c:f>
              <c:numCache>
                <c:formatCode>0.00</c:formatCode>
                <c:ptCount val="1001"/>
                <c:pt idx="0">
                  <c:v>0</c:v>
                </c:pt>
                <c:pt idx="1">
                  <c:v>8.772253913530354E-4</c:v>
                </c:pt>
                <c:pt idx="2">
                  <c:v>7.2754367754342382E-3</c:v>
                </c:pt>
                <c:pt idx="3">
                  <c:v>2.5256519899900413E-2</c:v>
                </c:pt>
                <c:pt idx="4">
                  <c:v>5.6876016719973263E-2</c:v>
                </c:pt>
                <c:pt idx="5">
                  <c:v>0.10165371660956621</c:v>
                </c:pt>
                <c:pt idx="6">
                  <c:v>0.15925498526388057</c:v>
                </c:pt>
                <c:pt idx="7">
                  <c:v>0.22963793125601001</c:v>
                </c:pt>
                <c:pt idx="8">
                  <c:v>0.31290726322928986</c:v>
                </c:pt>
                <c:pt idx="9">
                  <c:v>0.40916774272854622</c:v>
                </c:pt>
                <c:pt idx="10">
                  <c:v>0.51852418208563844</c:v>
                </c:pt>
                <c:pt idx="11">
                  <c:v>0.64106621127563668</c:v>
                </c:pt>
                <c:pt idx="12">
                  <c:v>0.77685300300344962</c:v>
                </c:pt>
                <c:pt idx="13">
                  <c:v>0.92592843999032071</c:v>
                </c:pt>
                <c:pt idx="14">
                  <c:v>1.0883363243303719</c:v>
                </c:pt>
                <c:pt idx="15">
                  <c:v>1.264120375956824</c:v>
                </c:pt>
                <c:pt idx="16">
                  <c:v>1.4533242311033399</c:v>
                </c:pt>
                <c:pt idx="17">
                  <c:v>1.6559914407606002</c:v>
                </c:pt>
                <c:pt idx="18">
                  <c:v>1.8721654691282292</c:v>
                </c:pt>
                <c:pt idx="19">
                  <c:v>2.1018896920621857</c:v>
                </c:pt>
                <c:pt idx="20">
                  <c:v>2.3452073955177375</c:v>
                </c:pt>
                <c:pt idx="21">
                  <c:v>2.602155659767575</c:v>
                </c:pt>
                <c:pt idx="22">
                  <c:v>2.8727592271988414</c:v>
                </c:pt>
                <c:pt idx="23">
                  <c:v>3.1570365913001366</c:v>
                </c:pt>
                <c:pt idx="24">
                  <c:v>3.4550061023868048</c:v>
                </c:pt>
                <c:pt idx="25">
                  <c:v>3.7666859666786143</c:v>
                </c:pt>
                <c:pt idx="26">
                  <c:v>4.0920942453824569</c:v>
                </c:pt>
                <c:pt idx="27">
                  <c:v>4.4312340525029876</c:v>
                </c:pt>
                <c:pt idx="28">
                  <c:v>4.7841077362197328</c:v>
                </c:pt>
                <c:pt idx="29">
                  <c:v>5.1507316874083733</c:v>
                </c:pt>
                <c:pt idx="30">
                  <c:v>5.531122174472225</c:v>
                </c:pt>
                <c:pt idx="31">
                  <c:v>5.9252953511364588</c:v>
                </c:pt>
                <c:pt idx="32">
                  <c:v>6.3332672533163876</c:v>
                </c:pt>
                <c:pt idx="33">
                  <c:v>6.7550537962080375</c:v>
                </c:pt>
                <c:pt idx="34">
                  <c:v>7.1906707715740588</c:v>
                </c:pt>
                <c:pt idx="35">
                  <c:v>7.6401338452021657</c:v>
                </c:pt>
                <c:pt idx="36">
                  <c:v>8.1034585545166511</c:v>
                </c:pt>
                <c:pt idx="37">
                  <c:v>8.5806603063263491</c:v>
                </c:pt>
                <c:pt idx="38">
                  <c:v>9.0717543746947129</c:v>
                </c:pt>
                <c:pt idx="39">
                  <c:v>9.5767558989196608</c:v>
                </c:pt>
                <c:pt idx="40">
                  <c:v>10.095679881612455</c:v>
                </c:pt>
                <c:pt idx="41">
                  <c:v>10.628536427681617</c:v>
                </c:pt>
                <c:pt idx="42">
                  <c:v>11.175325972355473</c:v>
                </c:pt>
                <c:pt idx="43">
                  <c:v>11.736044023400133</c:v>
                </c:pt>
                <c:pt idx="44">
                  <c:v>12.310685914743388</c:v>
                </c:pt>
                <c:pt idx="45">
                  <c:v>12.899246805525491</c:v>
                </c:pt>
                <c:pt idx="46">
                  <c:v>13.501721679218752</c:v>
                </c:pt>
                <c:pt idx="47">
                  <c:v>14.118105342810834</c:v>
                </c:pt>
                <c:pt idx="48">
                  <c:v>14.748392426047207</c:v>
                </c:pt>
                <c:pt idx="49">
                  <c:v>15.392577380728719</c:v>
                </c:pt>
                <c:pt idx="50">
                  <c:v>16.050654480060643</c:v>
                </c:pt>
                <c:pt idx="51">
                  <c:v>16.722617818049983</c:v>
                </c:pt>
                <c:pt idx="52">
                  <c:v>17.408461308948098</c:v>
                </c:pt>
                <c:pt idx="53">
                  <c:v>18.108178686736036</c:v>
                </c:pt>
                <c:pt idx="54">
                  <c:v>18.8217635046502</c:v>
                </c:pt>
                <c:pt idx="55">
                  <c:v>19.549209134746221</c:v>
                </c:pt>
                <c:pt idx="56">
                  <c:v>20.290508767499063</c:v>
                </c:pt>
                <c:pt idx="57">
                  <c:v>21.045655411437622</c:v>
                </c:pt>
                <c:pt idx="58">
                  <c:v>21.814641892812219</c:v>
                </c:pt>
                <c:pt idx="59">
                  <c:v>22.597460855293495</c:v>
                </c:pt>
                <c:pt idx="60">
                  <c:v>23.394104759701406</c:v>
                </c:pt>
                <c:pt idx="61">
                  <c:v>24.204565883763053</c:v>
                </c:pt>
                <c:pt idx="62">
                  <c:v>25.028836321898275</c:v>
                </c:pt>
                <c:pt idx="63">
                  <c:v>25.866907985031929</c:v>
                </c:pt>
                <c:pt idx="64">
                  <c:v>26.71877260043194</c:v>
                </c:pt>
                <c:pt idx="65">
                  <c:v>27.584421711572233</c:v>
                </c:pt>
                <c:pt idx="66">
                  <c:v>28.463846678019735</c:v>
                </c:pt>
                <c:pt idx="67">
                  <c:v>29.357038675344725</c:v>
                </c:pt>
                <c:pt idx="68">
                  <c:v>30.263988695053818</c:v>
                </c:pt>
                <c:pt idx="69">
                  <c:v>31.18468754454495</c:v>
                </c:pt>
                <c:pt idx="70">
                  <c:v>32.119125847083765</c:v>
                </c:pt>
                <c:pt idx="71">
                  <c:v>33.067294041800871</c:v>
                </c:pt>
                <c:pt idx="72">
                  <c:v>34.02918238370939</c:v>
                </c:pt>
                <c:pt idx="73">
                  <c:v>35.004780943742425</c:v>
                </c:pt>
                <c:pt idx="74">
                  <c:v>35.994079608809855</c:v>
                </c:pt>
                <c:pt idx="75">
                  <c:v>36.997068081874161</c:v>
                </c:pt>
                <c:pt idx="76">
                  <c:v>38.013735882044799</c:v>
                </c:pt>
                <c:pt idx="77">
                  <c:v>39.044072344690811</c:v>
                </c:pt>
                <c:pt idx="78">
                  <c:v>40.088066621571258</c:v>
                </c:pt>
                <c:pt idx="79">
                  <c:v>41.1457076809832</c:v>
                </c:pt>
                <c:pt idx="80">
                  <c:v>42.216984307926872</c:v>
                </c:pt>
                <c:pt idx="81">
                  <c:v>43.301880264336113</c:v>
                </c:pt>
                <c:pt idx="82">
                  <c:v>44.400369440399622</c:v>
                </c:pt>
                <c:pt idx="83">
                  <c:v>45.51242068417173</c:v>
                </c:pt>
                <c:pt idx="84">
                  <c:v>46.638002640537323</c:v>
                </c:pt>
                <c:pt idx="85">
                  <c:v>47.777083752284568</c:v>
                </c:pt>
                <c:pt idx="86">
                  <c:v>48.92963226119516</c:v>
                </c:pt>
                <c:pt idx="87">
                  <c:v>50.095616209151714</c:v>
                </c:pt>
                <c:pt idx="88">
                  <c:v>51.275003439261987</c:v>
                </c:pt>
                <c:pt idx="89">
                  <c:v>52.467761596999388</c:v>
                </c:pt>
                <c:pt idx="90">
                  <c:v>53.673858131359609</c:v>
                </c:pt>
                <c:pt idx="91">
                  <c:v>54.893258156395945</c:v>
                </c:pt>
                <c:pt idx="92">
                  <c:v>56.125922309201115</c:v>
                </c:pt>
                <c:pt idx="93">
                  <c:v>57.37180888681921</c:v>
                </c:pt>
                <c:pt idx="94">
                  <c:v>58.630875986941582</c:v>
                </c:pt>
                <c:pt idx="95">
                  <c:v>59.903081509539369</c:v>
                </c:pt>
                <c:pt idx="96">
                  <c:v>61.188383158509829</c:v>
                </c:pt>
                <c:pt idx="97">
                  <c:v>62.486738443336158</c:v>
                </c:pt>
                <c:pt idx="98">
                  <c:v>63.798104680760403</c:v>
                </c:pt>
                <c:pt idx="99">
                  <c:v>65.122438996469057</c:v>
                </c:pt>
                <c:pt idx="100">
                  <c:v>66.459698326791056</c:v>
                </c:pt>
                <c:pt idx="101">
                  <c:v>67.809839077977514</c:v>
                </c:pt>
                <c:pt idx="102">
                  <c:v>69.172816784987262</c:v>
                </c:pt>
                <c:pt idx="103">
                  <c:v>70.54858645514517</c:v>
                </c:pt>
                <c:pt idx="104">
                  <c:v>71.93710291235017</c:v>
                </c:pt>
                <c:pt idx="105">
                  <c:v>73.338320798895296</c:v>
                </c:pt>
                <c:pt idx="106">
                  <c:v>74.752194577297999</c:v>
                </c:pt>
                <c:pt idx="107">
                  <c:v>76.178678532140111</c:v>
                </c:pt>
                <c:pt idx="108">
                  <c:v>77.617726771917361</c:v>
                </c:pt>
                <c:pt idx="109">
                  <c:v>79.069293230897998</c:v>
                </c:pt>
                <c:pt idx="110">
                  <c:v>80.533331670990165</c:v>
                </c:pt>
                <c:pt idx="111">
                  <c:v>82.009799628496125</c:v>
                </c:pt>
                <c:pt idx="112">
                  <c:v>83.49866236595993</c:v>
                </c:pt>
                <c:pt idx="113">
                  <c:v>84.999888933611786</c:v>
                </c:pt>
                <c:pt idx="114">
                  <c:v>86.513448225377232</c:v>
                </c:pt>
                <c:pt idx="115">
                  <c:v>88.039308980069563</c:v>
                </c:pt>
                <c:pt idx="116">
                  <c:v>89.577439782590886</c:v>
                </c:pt>
                <c:pt idx="117">
                  <c:v>91.127809065141633</c:v>
                </c:pt>
                <c:pt idx="118">
                  <c:v>92.690385108438264</c:v>
                </c:pt>
                <c:pt idx="119">
                  <c:v>94.265136042939091</c:v>
                </c:pt>
                <c:pt idx="120">
                  <c:v>95.852029850077955</c:v>
                </c:pt>
                <c:pt idx="121">
                  <c:v>97.451027816669367</c:v>
                </c:pt>
                <c:pt idx="122">
                  <c:v>99.062077981943247</c:v>
                </c:pt>
                <c:pt idx="123">
                  <c:v>100.68512168035352</c:v>
                </c:pt>
                <c:pt idx="124">
                  <c:v>102.3201000923803</c:v>
                </c:pt>
                <c:pt idx="125">
                  <c:v>103.96695424701494</c:v>
                </c:pt>
                <c:pt idx="126">
                  <c:v>105.62562502424719</c:v>
                </c:pt>
                <c:pt idx="127">
                  <c:v>107.29605315755407</c:v>
                </c:pt>
                <c:pt idx="128">
                  <c:v>108.97817923639029</c:v>
                </c:pt>
                <c:pt idx="129">
                  <c:v>110.67194370867954</c:v>
                </c:pt>
                <c:pt idx="130">
                  <c:v>112.37728688330651</c:v>
                </c:pt>
                <c:pt idx="131">
                  <c:v>114.09414721764742</c:v>
                </c:pt>
                <c:pt idx="132">
                  <c:v>115.82245960354244</c:v>
                </c:pt>
                <c:pt idx="133">
                  <c:v>117.56215708405546</c:v>
                </c:pt>
                <c:pt idx="134">
                  <c:v>119.31317257196277</c:v>
                </c:pt>
                <c:pt idx="135">
                  <c:v>121.07543885258555</c:v>
                </c:pt>
                <c:pt idx="136">
                  <c:v>122.84888858661861</c:v>
                </c:pt>
                <c:pt idx="137">
                  <c:v>124.63345431295531</c:v>
                </c:pt>
                <c:pt idx="138">
                  <c:v>126.42906845150793</c:v>
                </c:pt>
                <c:pt idx="139">
                  <c:v>128.23566330602353</c:v>
                </c:pt>
                <c:pt idx="140">
                  <c:v>130.05317106689444</c:v>
                </c:pt>
                <c:pt idx="141">
                  <c:v>131.88150329728774</c:v>
                </c:pt>
                <c:pt idx="142">
                  <c:v>133.72053040559149</c:v>
                </c:pt>
                <c:pt idx="143">
                  <c:v>135.57010216572837</c:v>
                </c:pt>
                <c:pt idx="144">
                  <c:v>137.43006825365975</c:v>
                </c:pt>
                <c:pt idx="145">
                  <c:v>139.30027825517917</c:v>
                </c:pt>
                <c:pt idx="146">
                  <c:v>141.18058167364725</c:v>
                </c:pt>
                <c:pt idx="147">
                  <c:v>143.07082793766736</c:v>
                </c:pt>
                <c:pt idx="148">
                  <c:v>144.97086640870035</c:v>
                </c:pt>
                <c:pt idx="149">
                  <c:v>146.88054638861755</c:v>
                </c:pt>
                <c:pt idx="150">
                  <c:v>148.79971712719083</c:v>
                </c:pt>
                <c:pt idx="151">
                  <c:v>150.72822782951872</c:v>
                </c:pt>
                <c:pt idx="152">
                  <c:v>152.66592766338741</c:v>
                </c:pt>
                <c:pt idx="153">
                  <c:v>154.61266576656575</c:v>
                </c:pt>
                <c:pt idx="154">
                  <c:v>156.56829125403337</c:v>
                </c:pt>
                <c:pt idx="155">
                  <c:v>158.53265322514068</c:v>
                </c:pt>
                <c:pt idx="156">
                  <c:v>160.50550353814256</c:v>
                </c:pt>
                <c:pt idx="157">
                  <c:v>162.48639958495508</c:v>
                </c:pt>
                <c:pt idx="158">
                  <c:v>164.47480164958151</c:v>
                </c:pt>
                <c:pt idx="159">
                  <c:v>166.47017029015527</c:v>
                </c:pt>
                <c:pt idx="160">
                  <c:v>168.47196639327146</c:v>
                </c:pt>
                <c:pt idx="161">
                  <c:v>170.47952759311173</c:v>
                </c:pt>
                <c:pt idx="162">
                  <c:v>172.49194478448419</c:v>
                </c:pt>
                <c:pt idx="163">
                  <c:v>174.50819791169513</c:v>
                </c:pt>
                <c:pt idx="164">
                  <c:v>176.52729170632691</c:v>
                </c:pt>
                <c:pt idx="165">
                  <c:v>178.54836213411519</c:v>
                </c:pt>
                <c:pt idx="166">
                  <c:v>180.57078266122147</c:v>
                </c:pt>
                <c:pt idx="167">
                  <c:v>182.59395606140745</c:v>
                </c:pt>
                <c:pt idx="168">
                  <c:v>184.61717147437133</c:v>
                </c:pt>
                <c:pt idx="169">
                  <c:v>186.63950902419984</c:v>
                </c:pt>
                <c:pt idx="170">
                  <c:v>188.65980967269536</c:v>
                </c:pt>
                <c:pt idx="171">
                  <c:v>190.67726287924197</c:v>
                </c:pt>
                <c:pt idx="172">
                  <c:v>192.69166813392965</c:v>
                </c:pt>
                <c:pt idx="173">
                  <c:v>194.7030320533828</c:v>
                </c:pt>
                <c:pt idx="174">
                  <c:v>196.71136122821548</c:v>
                </c:pt>
                <c:pt idx="175">
                  <c:v>198.71666222316696</c:v>
                </c:pt>
                <c:pt idx="176">
                  <c:v>200.71894157723634</c:v>
                </c:pt>
                <c:pt idx="177">
                  <c:v>202.71820580381623</c:v>
                </c:pt>
                <c:pt idx="178">
                  <c:v>204.71446139082576</c:v>
                </c:pt>
                <c:pt idx="179">
                  <c:v>206.70771480084247</c:v>
                </c:pt>
                <c:pt idx="180">
                  <c:v>208.6979724712335</c:v>
                </c:pt>
                <c:pt idx="181">
                  <c:v>210.68524081428581</c:v>
                </c:pt>
                <c:pt idx="182">
                  <c:v>212.66952621733566</c:v>
                </c:pt>
                <c:pt idx="183">
                  <c:v>214.65083504289723</c:v>
                </c:pt>
                <c:pt idx="184">
                  <c:v>216.62917362879031</c:v>
                </c:pt>
                <c:pt idx="185">
                  <c:v>218.60454828826724</c:v>
                </c:pt>
                <c:pt idx="186">
                  <c:v>220.57696531013903</c:v>
                </c:pt>
                <c:pt idx="187">
                  <c:v>222.5464309589006</c:v>
                </c:pt>
                <c:pt idx="188">
                  <c:v>224.51295147485527</c:v>
                </c:pt>
                <c:pt idx="189">
                  <c:v>226.47653307423849</c:v>
                </c:pt>
                <c:pt idx="190">
                  <c:v>228.43718194934061</c:v>
                </c:pt>
                <c:pt idx="191">
                  <c:v>230.39490426862901</c:v>
                </c:pt>
                <c:pt idx="192">
                  <c:v>232.34970617686935</c:v>
                </c:pt>
                <c:pt idx="193">
                  <c:v>234.30159379524619</c:v>
                </c:pt>
                <c:pt idx="194">
                  <c:v>236.2505732214826</c:v>
                </c:pt>
                <c:pt idx="195">
                  <c:v>238.19665052995919</c:v>
                </c:pt>
                <c:pt idx="196">
                  <c:v>240.13983177183235</c:v>
                </c:pt>
                <c:pt idx="197">
                  <c:v>242.08012297515162</c:v>
                </c:pt>
                <c:pt idx="198">
                  <c:v>244.01753014497649</c:v>
                </c:pt>
                <c:pt idx="199">
                  <c:v>245.95205926349229</c:v>
                </c:pt>
                <c:pt idx="200">
                  <c:v>247.88371629012539</c:v>
                </c:pt>
                <c:pt idx="201">
                  <c:v>267.04278134940603</c:v>
                </c:pt>
                <c:pt idx="202">
                  <c:v>285.91845415997216</c:v>
                </c:pt>
                <c:pt idx="203">
                  <c:v>304.51647953994552</c:v>
                </c:pt>
                <c:pt idx="204">
                  <c:v>322.84238932557327</c:v>
                </c:pt>
                <c:pt idx="205">
                  <c:v>340.90151270487166</c:v>
                </c:pt>
                <c:pt idx="206">
                  <c:v>358.69898592371345</c:v>
                </c:pt>
                <c:pt idx="207">
                  <c:v>376.23976140975299</c:v>
                </c:pt>
                <c:pt idx="208">
                  <c:v>393.52861635578302</c:v>
                </c:pt>
                <c:pt idx="209">
                  <c:v>410.57016080067353</c:v>
                </c:pt>
                <c:pt idx="210">
                  <c:v>427.36884524292645</c:v>
                </c:pt>
                <c:pt idx="211">
                  <c:v>443.92896781904818</c:v>
                </c:pt>
                <c:pt idx="212">
                  <c:v>460.25468107637266</c:v>
                </c:pt>
                <c:pt idx="213">
                  <c:v>476.34999836762898</c:v>
                </c:pt>
                <c:pt idx="214">
                  <c:v>492.21879989241813</c:v>
                </c:pt>
                <c:pt idx="215">
                  <c:v>507.86483840882357</c:v>
                </c:pt>
                <c:pt idx="216">
                  <c:v>523.29174463660877</c:v>
                </c:pt>
                <c:pt idx="217">
                  <c:v>538.50303237183709</c:v>
                </c:pt>
                <c:pt idx="218">
                  <c:v>553.50210333127029</c:v>
                </c:pt>
                <c:pt idx="219">
                  <c:v>568.2922517435461</c:v>
                </c:pt>
                <c:pt idx="220">
                  <c:v>582.87666870289729</c:v>
                </c:pt>
                <c:pt idx="221">
                  <c:v>597.25844630003314</c:v>
                </c:pt>
                <c:pt idx="222">
                  <c:v>611.4405815437608</c:v>
                </c:pt>
                <c:pt idx="223">
                  <c:v>625.42598008596508</c:v>
                </c:pt>
                <c:pt idx="224">
                  <c:v>639.21745976167858</c:v>
                </c:pt>
                <c:pt idx="225">
                  <c:v>652.8177539551649</c:v>
                </c:pt>
                <c:pt idx="226">
                  <c:v>666.22951480218603</c:v>
                </c:pt>
                <c:pt idx="227">
                  <c:v>679.45531623793465</c:v>
                </c:pt>
                <c:pt idx="228">
                  <c:v>692.49765689947606</c:v>
                </c:pt>
                <c:pt idx="229">
                  <c:v>705.35896289095297</c:v>
                </c:pt>
                <c:pt idx="230">
                  <c:v>718.04159041926459</c:v>
                </c:pt>
                <c:pt idx="231">
                  <c:v>730.54782830742647</c:v>
                </c:pt>
                <c:pt idx="232">
                  <c:v>742.87990039235069</c:v>
                </c:pt>
                <c:pt idx="233">
                  <c:v>755.03996781335661</c:v>
                </c:pt>
                <c:pt idx="234">
                  <c:v>767.03013119731804</c:v>
                </c:pt>
                <c:pt idx="235">
                  <c:v>778.8524327459844</c:v>
                </c:pt>
                <c:pt idx="236">
                  <c:v>790.50885823066665</c:v>
                </c:pt>
                <c:pt idx="237">
                  <c:v>802.00133889915753</c:v>
                </c:pt>
                <c:pt idx="238">
                  <c:v>813.33175329945948</c:v>
                </c:pt>
                <c:pt idx="239">
                  <c:v>824.50192902461379</c:v>
                </c:pt>
                <c:pt idx="240">
                  <c:v>835.5136443826683</c:v>
                </c:pt>
                <c:pt idx="241">
                  <c:v>846.36862999557832</c:v>
                </c:pt>
                <c:pt idx="242">
                  <c:v>857.06857033061294</c:v>
                </c:pt>
                <c:pt idx="243">
                  <c:v>867.61510516762803</c:v>
                </c:pt>
                <c:pt idx="244">
                  <c:v>878.00983100537269</c:v>
                </c:pt>
                <c:pt idx="245">
                  <c:v>888.2543024098137</c:v>
                </c:pt>
                <c:pt idx="246">
                  <c:v>898.35003330729091</c:v>
                </c:pt>
                <c:pt idx="247">
                  <c:v>908.29849822515826</c:v>
                </c:pt>
                <c:pt idx="248">
                  <c:v>918.10113348241475</c:v>
                </c:pt>
                <c:pt idx="249">
                  <c:v>927.75933833269187</c:v>
                </c:pt>
                <c:pt idx="250">
                  <c:v>937.27447606183057</c:v>
                </c:pt>
                <c:pt idx="251">
                  <c:v>946.64787504216099</c:v>
                </c:pt>
                <c:pt idx="252">
                  <c:v>955.88082974548161</c:v>
                </c:pt>
                <c:pt idx="253">
                  <c:v>964.97460171662726</c:v>
                </c:pt>
                <c:pt idx="254">
                  <c:v>973.93042050941381</c:v>
                </c:pt>
                <c:pt idx="255">
                  <c:v>982.74948458665347</c:v>
                </c:pt>
                <c:pt idx="256">
                  <c:v>991.43296218584396</c:v>
                </c:pt>
                <c:pt idx="257">
                  <c:v>999.98199215205238</c:v>
                </c:pt>
                <c:pt idx="258">
                  <c:v>1008.3976847394348</c:v>
                </c:pt>
                <c:pt idx="259">
                  <c:v>1016.6811223827584</c:v>
                </c:pt>
                <c:pt idx="260">
                  <c:v>1024.8333604402246</c:v>
                </c:pt>
                <c:pt idx="261">
                  <c:v>1032.8554279088239</c:v>
                </c:pt>
                <c:pt idx="262">
                  <c:v>1040.7483281133927</c:v>
                </c:pt>
                <c:pt idx="263">
                  <c:v>1048.5130393704849</c:v>
                </c:pt>
                <c:pt idx="264">
                  <c:v>1056.1505156281125</c:v>
                </c:pt>
                <c:pt idx="265">
                  <c:v>1063.6616870823639</c:v>
                </c:pt>
                <c:pt idx="266">
                  <c:v>1071.0474607718515</c:v>
                </c:pt>
                <c:pt idx="267">
                  <c:v>1078.3087211509057</c:v>
                </c:pt>
                <c:pt idx="268">
                  <c:v>1085.4463306423743</c:v>
                </c:pt>
                <c:pt idx="269">
                  <c:v>1092.461130170861</c:v>
                </c:pt>
                <c:pt idx="270">
                  <c:v>1099.3539396771851</c:v>
                </c:pt>
                <c:pt idx="271">
                  <c:v>1106.125558614817</c:v>
                </c:pt>
                <c:pt idx="272">
                  <c:v>1112.7767664290061</c:v>
                </c:pt>
                <c:pt idx="273">
                  <c:v>1119.3083230192838</c:v>
                </c:pt>
                <c:pt idx="274">
                  <c:v>1125.7209691859989</c:v>
                </c:pt>
                <c:pt idx="275">
                  <c:v>1132.0154270615096</c:v>
                </c:pt>
                <c:pt idx="276">
                  <c:v>1138.1924005266312</c:v>
                </c:pt>
                <c:pt idx="277">
                  <c:v>1144.2525756129128</c:v>
                </c:pt>
                <c:pt idx="278">
                  <c:v>1150.1966208912945</c:v>
                </c:pt>
                <c:pt idx="279">
                  <c:v>1156.0251878476702</c:v>
                </c:pt>
                <c:pt idx="280">
                  <c:v>1161.7389112458641</c:v>
                </c:pt>
                <c:pt idx="281">
                  <c:v>1167.3384094785101</c:v>
                </c:pt>
                <c:pt idx="282">
                  <c:v>1172.8242849062999</c:v>
                </c:pt>
                <c:pt idx="283">
                  <c:v>1178.1971241860556</c:v>
                </c:pt>
                <c:pt idx="284">
                  <c:v>1183.4574985880633</c:v>
                </c:pt>
                <c:pt idx="285">
                  <c:v>1188.6059643030919</c:v>
                </c:pt>
                <c:pt idx="286">
                  <c:v>1193.6430627395059</c:v>
                </c:pt>
                <c:pt idx="287">
                  <c:v>1198.5693208108753</c:v>
                </c:pt>
                <c:pt idx="288">
                  <c:v>1203.3852512144686</c:v>
                </c:pt>
                <c:pt idx="289">
                  <c:v>1208.0913527010125</c:v>
                </c:pt>
                <c:pt idx="290">
                  <c:v>1212.6881103360915</c:v>
                </c:pt>
                <c:pt idx="291">
                  <c:v>1217.1759957535551</c:v>
                </c:pt>
                <c:pt idx="292">
                  <c:v>1221.5554674012972</c:v>
                </c:pt>
                <c:pt idx="293">
                  <c:v>1225.826970779771</c:v>
                </c:pt>
                <c:pt idx="294">
                  <c:v>1229.9909386735987</c:v>
                </c:pt>
                <c:pt idx="295">
                  <c:v>1234.0477913766392</c:v>
                </c:pt>
                <c:pt idx="296">
                  <c:v>1237.9979369108812</c:v>
                </c:pt>
                <c:pt idx="297">
                  <c:v>1241.8417712395324</c:v>
                </c:pt>
                <c:pt idx="298">
                  <c:v>1245.579678474684</c:v>
                </c:pt>
                <c:pt idx="299">
                  <c:v>1249.2120310799421</c:v>
                </c:pt>
                <c:pt idx="300">
                  <c:v>1252.7391900684295</c:v>
                </c:pt>
                <c:pt idx="301">
                  <c:v>1256.1615051965794</c:v>
                </c:pt>
                <c:pt idx="302">
                  <c:v>1259.4793151541624</c:v>
                </c:pt>
                <c:pt idx="303">
                  <c:v>1262.6929477510121</c:v>
                </c:pt>
                <c:pt idx="304">
                  <c:v>1265.8027201009429</c:v>
                </c:pt>
                <c:pt idx="305">
                  <c:v>1268.8089388033895</c:v>
                </c:pt>
                <c:pt idx="306">
                  <c:v>1271.7119001233311</c:v>
                </c:pt>
                <c:pt idx="307">
                  <c:v>1274.5118901701101</c:v>
                </c:pt>
                <c:pt idx="308">
                  <c:v>1277.209185075804</c:v>
                </c:pt>
                <c:pt idx="309">
                  <c:v>1279.8040511738641</c:v>
                </c:pt>
                <c:pt idx="310">
                  <c:v>1282.2967451787956</c:v>
                </c:pt>
                <c:pt idx="311">
                  <c:v>1284.6875143677248</c:v>
                </c:pt>
                <c:pt idx="312">
                  <c:v>1286.9765967647702</c:v>
                </c:pt>
                <c:pt idx="313">
                  <c:v>1289.1642213292193</c:v>
                </c:pt>
                <c:pt idx="314">
                  <c:v>1291.2506081485956</c:v>
                </c:pt>
                <c:pt idx="315">
                  <c:v>1293.2359686377911</c:v>
                </c:pt>
                <c:pt idx="316">
                  <c:v>1295.1205057455368</c:v>
                </c:pt>
                <c:pt idx="317">
                  <c:v>1296.9044141695706</c:v>
                </c:pt>
                <c:pt idx="318">
                  <c:v>1298.5878805819525</c:v>
                </c:pt>
                <c:pt idx="319">
                  <c:v>1300.1710838660608</c:v>
                </c:pt>
                <c:pt idx="320">
                  <c:v>1301.6541953668641</c:v>
                </c:pt>
                <c:pt idx="321">
                  <c:v>1303.0373791561117</c:v>
                </c:pt>
                <c:pt idx="322">
                  <c:v>1304.3207923140974</c:v>
                </c:pt>
                <c:pt idx="323">
                  <c:v>1305.5045852296269</c:v>
                </c:pt>
                <c:pt idx="324">
                  <c:v>1306.5889019197398</c:v>
                </c:pt>
                <c:pt idx="325">
                  <c:v>1307.5738803706017</c:v>
                </c:pt>
                <c:pt idx="326">
                  <c:v>1308.4596529007677</c:v>
                </c:pt>
                <c:pt idx="327">
                  <c:v>1309.2463465477244</c:v>
                </c:pt>
                <c:pt idx="328">
                  <c:v>1309.9340834782438</c:v>
                </c:pt>
                <c:pt idx="329">
                  <c:v>1310.5229814226036</c:v>
                </c:pt>
                <c:pt idx="330">
                  <c:v>1311.0131541321896</c:v>
                </c:pt>
                <c:pt idx="331">
                  <c:v>1311.4047118593642</c:v>
                </c:pt>
                <c:pt idx="332">
                  <c:v>1311.6977618578248</c:v>
                </c:pt>
                <c:pt idx="333">
                  <c:v>1311.8924089009854</c:v>
                </c:pt>
                <c:pt idx="334">
                  <c:v>1311.9887558152445</c:v>
                </c:pt>
                <c:pt idx="335">
                  <c:v>1311.9869040243964</c:v>
                </c:pt>
                <c:pt idx="336">
                  <c:v>1311.886954100929</c:v>
                </c:pt>
                <c:pt idx="337">
                  <c:v>1311.6890063195806</c:v>
                </c:pt>
                <c:pt idx="338">
                  <c:v>1311.393161208317</c:v>
                </c:pt>
                <c:pt idx="339">
                  <c:v>1310.9995200918665</c:v>
                </c:pt>
                <c:pt idx="340">
                  <c:v>1310.5081856231081</c:v>
                </c:pt>
                <c:pt idx="341">
                  <c:v>1309.919262297936</c:v>
                </c:pt>
                <c:pt idx="342">
                  <c:v>1309.232856949704</c:v>
                </c:pt>
                <c:pt idx="343">
                  <c:v>1308.4490792199392</c:v>
                </c:pt>
                <c:pt idx="344">
                  <c:v>1307.5680420026738</c:v>
                </c:pt>
                <c:pt idx="345">
                  <c:v>1306.5898618604363</c:v>
                </c:pt>
                <c:pt idx="346">
                  <c:v>1305.5146594106218</c:v>
                </c:pt>
                <c:pt idx="347">
                  <c:v>1304.3425596816005</c:v>
                </c:pt>
                <c:pt idx="348">
                  <c:v>1303.0736924385008</c:v>
                </c:pt>
                <c:pt idx="349">
                  <c:v>1301.7081924790925</c:v>
                </c:pt>
                <c:pt idx="350">
                  <c:v>1300.2461999006039</c:v>
                </c:pt>
                <c:pt idx="351">
                  <c:v>1298.6878603386172</c:v>
                </c:pt>
                <c:pt idx="352">
                  <c:v>1297.0333251794216</c:v>
                </c:pt>
                <c:pt idx="353">
                  <c:v>1295.2827517473515</c:v>
                </c:pt>
                <c:pt idx="354">
                  <c:v>1293.4363034687274</c:v>
                </c:pt>
                <c:pt idx="355">
                  <c:v>1291.4941500140476</c:v>
                </c:pt>
                <c:pt idx="356">
                  <c:v>1289.4564674200701</c:v>
                </c:pt>
                <c:pt idx="357">
                  <c:v>1287.3234381933755</c:v>
                </c:pt>
                <c:pt idx="358">
                  <c:v>1285.0952513969353</c:v>
                </c:pt>
                <c:pt idx="359">
                  <c:v>1282.7721027211276</c:v>
                </c:pt>
                <c:pt idx="360">
                  <c:v>1280.3541945405409</c:v>
                </c:pt>
                <c:pt idx="361">
                  <c:v>1277.8417359578157</c:v>
                </c:pt>
                <c:pt idx="362">
                  <c:v>1275.2349428356647</c:v>
                </c:pt>
                <c:pt idx="363">
                  <c:v>1272.5340378181222</c:v>
                </c:pt>
                <c:pt idx="364">
                  <c:v>1269.7392503419733</c:v>
                </c:pt>
                <c:pt idx="365">
                  <c:v>1266.8508166392271</c:v>
                </c:pt>
                <c:pt idx="366">
                  <c:v>1263.8689797314146</c:v>
                </c:pt>
                <c:pt idx="367">
                  <c:v>1260.7939894164151</c:v>
                </c:pt>
                <c:pt idx="368">
                  <c:v>1257.6261022484478</c:v>
                </c:pt>
                <c:pt idx="369">
                  <c:v>1254.3655815117957</c:v>
                </c:pt>
                <c:pt idx="370">
                  <c:v>1251.0126971887805</c:v>
                </c:pt>
                <c:pt idx="371">
                  <c:v>1247.5677259224469</c:v>
                </c:pt>
                <c:pt idx="372">
                  <c:v>1244.0309509743752</c:v>
                </c:pt>
                <c:pt idx="373">
                  <c:v>1240.4026621779956</c:v>
                </c:pt>
                <c:pt idx="374">
                  <c:v>1236.683155887745</c:v>
                </c:pt>
                <c:pt idx="375">
                  <c:v>1232.8727349243702</c:v>
                </c:pt>
                <c:pt idx="376">
                  <c:v>1228.9717085166562</c:v>
                </c:pt>
                <c:pt idx="377">
                  <c:v>1224.9803922398303</c:v>
                </c:pt>
                <c:pt idx="378">
                  <c:v>1220.8991079508721</c:v>
                </c:pt>
                <c:pt idx="379">
                  <c:v>1216.7281837209368</c:v>
                </c:pt>
                <c:pt idx="380">
                  <c:v>1212.467953765085</c:v>
                </c:pt>
                <c:pt idx="381">
                  <c:v>1208.1187583694914</c:v>
                </c:pt>
                <c:pt idx="382">
                  <c:v>1203.6809438162979</c:v>
                </c:pt>
                <c:pt idx="383">
                  <c:v>1199.154862306257</c:v>
                </c:pt>
                <c:pt idx="384">
                  <c:v>1194.5408718793049</c:v>
                </c:pt>
                <c:pt idx="385">
                  <c:v>1189.8393363331938</c:v>
                </c:pt>
                <c:pt idx="386">
                  <c:v>1185.0506251403031</c:v>
                </c:pt>
                <c:pt idx="387">
                  <c:v>1180.1751133627404</c:v>
                </c:pt>
                <c:pt idx="388">
                  <c:v>1175.2131815658411</c:v>
                </c:pt>
                <c:pt idx="389">
                  <c:v>1170.1652157301626</c:v>
                </c:pt>
                <c:pt idx="390">
                  <c:v>1165.0316071620714</c:v>
                </c:pt>
                <c:pt idx="391">
                  <c:v>1159.8127524030085</c:v>
                </c:pt>
                <c:pt idx="392">
                  <c:v>1154.5090531375213</c:v>
                </c:pt>
                <c:pt idx="393">
                  <c:v>1149.120916100142</c:v>
                </c:pt>
                <c:pt idx="394">
                  <c:v>1143.6487529811911</c:v>
                </c:pt>
                <c:pt idx="395">
                  <c:v>1138.0929803315782</c:v>
                </c:pt>
                <c:pt idx="396">
                  <c:v>1132.4540194666768</c:v>
                </c:pt>
                <c:pt idx="397">
                  <c:v>1126.7322963693364</c:v>
                </c:pt>
                <c:pt idx="398">
                  <c:v>1120.9282415921036</c:v>
                </c:pt>
                <c:pt idx="399">
                  <c:v>1115.0422901587153</c:v>
                </c:pt>
                <c:pt idx="400">
                  <c:v>1109.0748814649244</c:v>
                </c:pt>
                <c:pt idx="401">
                  <c:v>1103.0264591787234</c:v>
                </c:pt>
                <c:pt idx="402">
                  <c:v>1096.8974711400215</c:v>
                </c:pt>
                <c:pt idx="403">
                  <c:v>1090.6883692598351</c:v>
                </c:pt>
                <c:pt idx="404">
                  <c:v>1084.3996094190454</c:v>
                </c:pt>
                <c:pt idx="405">
                  <c:v>1078.031651366781</c:v>
                </c:pt>
                <c:pt idx="406">
                  <c:v>1071.5849586184761</c:v>
                </c:pt>
                <c:pt idx="407">
                  <c:v>1065.0599983536588</c:v>
                </c:pt>
                <c:pt idx="408">
                  <c:v>1058.4572413135195</c:v>
                </c:pt>
                <c:pt idx="409">
                  <c:v>1051.7771616983084</c:v>
                </c:pt>
                <c:pt idx="410">
                  <c:v>1045.0202370646134</c:v>
                </c:pt>
                <c:pt idx="411">
                  <c:v>1038.1869482225636</c:v>
                </c:pt>
                <c:pt idx="412">
                  <c:v>1031.2777791330068</c:v>
                </c:pt>
                <c:pt idx="413">
                  <c:v>1024.2932168047064</c:v>
                </c:pt>
                <c:pt idx="414">
                  <c:v>1017.2337511916016</c:v>
                </c:pt>
                <c:pt idx="415">
                  <c:v>1010.0998750901765</c:v>
                </c:pt>
                <c:pt idx="416">
                  <c:v>1002.8920840369792</c:v>
                </c:pt>
                <c:pt idx="417">
                  <c:v>995.61087620633384</c:v>
                </c:pt>
                <c:pt idx="418">
                  <c:v>988.25675230828654</c:v>
                </c:pt>
                <c:pt idx="419">
                  <c:v>980.8302154868253</c:v>
                </c:pt>
                <c:pt idx="420">
                  <c:v>973.33177121841311</c:v>
                </c:pt>
                <c:pt idx="421">
                  <c:v>965.7619272108725</c:v>
                </c:pt>
                <c:pt idx="422">
                  <c:v>958.12119330265932</c:v>
                </c:pt>
                <c:pt idx="423">
                  <c:v>950.41008136256221</c:v>
                </c:pt>
                <c:pt idx="424">
                  <c:v>942.62910518986348</c:v>
                </c:pt>
                <c:pt idx="425">
                  <c:v>934.77878041499605</c:v>
                </c:pt>
                <c:pt idx="426">
                  <c:v>926.85962440073081</c:v>
                </c:pt>
                <c:pt idx="427">
                  <c:v>918.87215614392744</c:v>
                </c:pt>
                <c:pt idx="428">
                  <c:v>910.81689617788061</c:v>
                </c:pt>
                <c:pt idx="429">
                  <c:v>902.6943664752929</c:v>
                </c:pt>
                <c:pt idx="430">
                  <c:v>894.50509035190578</c:v>
                </c:pt>
                <c:pt idx="431">
                  <c:v>886.24959237081691</c:v>
                </c:pt>
                <c:pt idx="432">
                  <c:v>877.92839824751377</c:v>
                </c:pt>
                <c:pt idx="433">
                  <c:v>869.542034755651</c:v>
                </c:pt>
                <c:pt idx="434">
                  <c:v>861.09102963359783</c:v>
                </c:pt>
                <c:pt idx="435">
                  <c:v>852.57591149178324</c:v>
                </c:pt>
                <c:pt idx="436">
                  <c:v>843.99720972086288</c:v>
                </c:pt>
                <c:pt idx="437">
                  <c:v>835.35545440073258</c:v>
                </c:pt>
                <c:pt idx="438">
                  <c:v>826.65117621041202</c:v>
                </c:pt>
                <c:pt idx="439">
                  <c:v>817.88490633882179</c:v>
                </c:pt>
                <c:pt idx="440">
                  <c:v>809.05717639647492</c:v>
                </c:pt>
                <c:pt idx="441">
                  <c:v>800.16851832810403</c:v>
                </c:pt>
                <c:pt idx="442">
                  <c:v>791.2194643262452</c:v>
                </c:pt>
                <c:pt idx="443">
                  <c:v>782.21054674579648</c:v>
                </c:pt>
                <c:pt idx="444">
                  <c:v>773.14229801957106</c:v>
                </c:pt>
                <c:pt idx="445">
                  <c:v>764.01525057486106</c:v>
                </c:pt>
                <c:pt idx="446">
                  <c:v>754.8299367510308</c:v>
                </c:pt>
                <c:pt idx="447">
                  <c:v>745.58688871815366</c:v>
                </c:pt>
                <c:pt idx="448">
                  <c:v>736.28663839670912</c:v>
                </c:pt>
                <c:pt idx="449">
                  <c:v>726.92971737835353</c:v>
                </c:pt>
                <c:pt idx="450">
                  <c:v>717.51665684777925</c:v>
                </c:pt>
                <c:pt idx="451">
                  <c:v>708.0479875056734</c:v>
                </c:pt>
                <c:pt idx="452">
                  <c:v>698.52423949278989</c:v>
                </c:pt>
                <c:pt idx="453">
                  <c:v>688.94594231514498</c:v>
                </c:pt>
                <c:pt idx="454">
                  <c:v>679.31362477034747</c:v>
                </c:pt>
                <c:pt idx="455">
                  <c:v>669.62781487507232</c:v>
                </c:pt>
                <c:pt idx="456">
                  <c:v>659.88903979368808</c:v>
                </c:pt>
                <c:pt idx="457">
                  <c:v>650.09782576804537</c:v>
                </c:pt>
                <c:pt idx="458">
                  <c:v>640.25469804843374</c:v>
                </c:pt>
                <c:pt idx="459">
                  <c:v>630.36018082571491</c:v>
                </c:pt>
                <c:pt idx="460">
                  <c:v>620.41479716463743</c:v>
                </c:pt>
                <c:pt idx="461">
                  <c:v>610.41906893833811</c:v>
                </c:pt>
                <c:pt idx="462">
                  <c:v>600.37351676403591</c:v>
                </c:pt>
                <c:pt idx="463">
                  <c:v>590.27865993992123</c:v>
                </c:pt>
                <c:pt idx="464">
                  <c:v>580.13501638324476</c:v>
                </c:pt>
                <c:pt idx="465">
                  <c:v>569.94310256960819</c:v>
                </c:pt>
                <c:pt idx="466">
                  <c:v>559.70343347345897</c:v>
                </c:pt>
                <c:pt idx="467">
                  <c:v>549.41652250979052</c:v>
                </c:pt>
                <c:pt idx="468">
                  <c:v>539.08288147704889</c:v>
                </c:pt>
                <c:pt idx="469">
                  <c:v>528.70302050124599</c:v>
                </c:pt>
                <c:pt idx="470">
                  <c:v>518.27744798127924</c:v>
                </c:pt>
                <c:pt idx="471">
                  <c:v>507.80667053545636</c:v>
                </c:pt>
                <c:pt idx="472">
                  <c:v>497.29119294922401</c:v>
                </c:pt>
                <c:pt idx="473">
                  <c:v>486.73151812409827</c:v>
                </c:pt>
                <c:pt idx="474">
                  <c:v>476.12814702779451</c:v>
                </c:pt>
                <c:pt idx="475">
                  <c:v>465.48157864555327</c:v>
                </c:pt>
                <c:pt idx="476">
                  <c:v>454.79230993265884</c:v>
                </c:pt>
                <c:pt idx="477">
                  <c:v>444.06083576814603</c:v>
                </c:pt>
                <c:pt idx="478">
                  <c:v>433.28764890969126</c:v>
                </c:pt>
                <c:pt idx="479">
                  <c:v>422.47323994968195</c:v>
                </c:pt>
                <c:pt idx="480">
                  <c:v>411.61809727245986</c:v>
                </c:pt>
                <c:pt idx="481">
                  <c:v>400.72270701273135</c:v>
                </c:pt>
                <c:pt idx="482">
                  <c:v>389.78755301513888</c:v>
                </c:pt>
                <c:pt idx="483">
                  <c:v>378.81311679498674</c:v>
                </c:pt>
                <c:pt idx="484">
                  <c:v>367.79987750011395</c:v>
                </c:pt>
                <c:pt idx="485">
                  <c:v>356.74831187390652</c:v>
                </c:pt>
                <c:pt idx="486">
                  <c:v>345.65889421944121</c:v>
                </c:pt>
                <c:pt idx="487">
                  <c:v>334.53209636475293</c:v>
                </c:pt>
                <c:pt idx="488">
                  <c:v>323.36838762921633</c:v>
                </c:pt>
                <c:pt idx="489">
                  <c:v>312.16823479103329</c:v>
                </c:pt>
                <c:pt idx="490">
                  <c:v>300.9321020558167</c:v>
                </c:pt>
                <c:pt idx="491">
                  <c:v>289.66045102626094</c:v>
                </c:pt>
                <c:pt idx="492">
                  <c:v>278.35374067288922</c:v>
                </c:pt>
                <c:pt idx="493">
                  <c:v>267.01242730586762</c:v>
                </c:pt>
                <c:pt idx="494">
                  <c:v>255.63696454787535</c:v>
                </c:pt>
                <c:pt idx="495">
                  <c:v>244.22780330802038</c:v>
                </c:pt>
                <c:pt idx="496">
                  <c:v>232.78539175678983</c:v>
                </c:pt>
                <c:pt idx="497">
                  <c:v>221.31017530202354</c:v>
                </c:pt>
                <c:pt idx="498">
                  <c:v>209.80259656589985</c:v>
                </c:pt>
                <c:pt idx="499">
                  <c:v>198.26309536292155</c:v>
                </c:pt>
                <c:pt idx="500">
                  <c:v>186.69210867889058</c:v>
                </c:pt>
                <c:pt idx="501">
                  <c:v>175.09007065085922</c:v>
                </c:pt>
                <c:pt idx="502">
                  <c:v>163.45741254804574</c:v>
                </c:pt>
                <c:pt idx="503">
                  <c:v>151.79456275370222</c:v>
                </c:pt>
                <c:pt idx="504">
                  <c:v>140.10194674792206</c:v>
                </c:pt>
                <c:pt idx="505">
                  <c:v>128.37998709137443</c:v>
                </c:pt>
                <c:pt idx="506">
                  <c:v>116.62910340995313</c:v>
                </c:pt>
                <c:pt idx="507">
                  <c:v>104.84971238032698</c:v>
                </c:pt>
                <c:pt idx="508">
                  <c:v>93.042227716378562</c:v>
                </c:pt>
                <c:pt idx="509">
                  <c:v>81.207060156518594</c:v>
                </c:pt>
                <c:pt idx="510">
                  <c:v>69.34461745186249</c:v>
                </c:pt>
                <c:pt idx="511">
                  <c:v>57.455304355256125</c:v>
                </c:pt>
                <c:pt idx="512">
                  <c:v>45.539522611137272</c:v>
                </c:pt>
                <c:pt idx="513">
                  <c:v>33.597670946219623</c:v>
                </c:pt>
                <c:pt idx="514">
                  <c:v>21.630145060985761</c:v>
                </c:pt>
                <c:pt idx="515">
                  <c:v>9.6373376219757922</c:v>
                </c:pt>
                <c:pt idx="516">
                  <c:v>-2.3803617451419008</c:v>
                </c:pt>
                <c:pt idx="517">
                  <c:v>-2.3923918056035842</c:v>
                </c:pt>
                <c:pt idx="518">
                  <c:v>-2.4044218903779</c:v>
                </c:pt>
                <c:pt idx="519">
                  <c:v>-2.4164519994644666</c:v>
                </c:pt>
                <c:pt idx="520">
                  <c:v>-2.4284821328629027</c:v>
                </c:pt>
                <c:pt idx="521">
                  <c:v>-2.4405122905728271</c:v>
                </c:pt>
                <c:pt idx="522">
                  <c:v>-2.4525424725938589</c:v>
                </c:pt>
                <c:pt idx="523">
                  <c:v>-2.464572678925617</c:v>
                </c:pt>
                <c:pt idx="524">
                  <c:v>-2.47660290956772</c:v>
                </c:pt>
                <c:pt idx="525">
                  <c:v>-2.4886331645197868</c:v>
                </c:pt>
                <c:pt idx="526">
                  <c:v>-2.5006634437814363</c:v>
                </c:pt>
                <c:pt idx="527">
                  <c:v>-2.5126937473522872</c:v>
                </c:pt>
                <c:pt idx="528">
                  <c:v>-2.5247240752319584</c:v>
                </c:pt>
                <c:pt idx="529">
                  <c:v>-2.5367544274200688</c:v>
                </c:pt>
                <c:pt idx="530">
                  <c:v>-2.5487848039162371</c:v>
                </c:pt>
                <c:pt idx="531">
                  <c:v>-2.5608152047200821</c:v>
                </c:pt>
                <c:pt idx="532">
                  <c:v>-2.5728456298312228</c:v>
                </c:pt>
                <c:pt idx="533">
                  <c:v>-2.5848760792492782</c:v>
                </c:pt>
                <c:pt idx="534">
                  <c:v>-2.5969065529738669</c:v>
                </c:pt>
                <c:pt idx="535">
                  <c:v>-2.6089370510046077</c:v>
                </c:pt>
                <c:pt idx="536">
                  <c:v>-2.6209675733411197</c:v>
                </c:pt>
                <c:pt idx="537">
                  <c:v>-2.6329981199830215</c:v>
                </c:pt>
                <c:pt idx="538">
                  <c:v>-2.6450286909299323</c:v>
                </c:pt>
                <c:pt idx="539">
                  <c:v>-2.6570592861814708</c:v>
                </c:pt>
                <c:pt idx="540">
                  <c:v>-2.6690899057372559</c:v>
                </c:pt>
                <c:pt idx="541">
                  <c:v>-2.6811205495969066</c:v>
                </c:pt>
                <c:pt idx="542">
                  <c:v>-2.6931512177600414</c:v>
                </c:pt>
                <c:pt idx="543">
                  <c:v>-2.7051819102262793</c:v>
                </c:pt>
                <c:pt idx="544">
                  <c:v>-2.7172126269952397</c:v>
                </c:pt>
                <c:pt idx="545">
                  <c:v>-2.7292433680665407</c:v>
                </c:pt>
                <c:pt idx="546">
                  <c:v>-2.7412741334398016</c:v>
                </c:pt>
                <c:pt idx="547">
                  <c:v>-2.7533049231146416</c:v>
                </c:pt>
                <c:pt idx="548">
                  <c:v>-2.765335737090679</c:v>
                </c:pt>
                <c:pt idx="549">
                  <c:v>-2.777366575367533</c:v>
                </c:pt>
                <c:pt idx="550">
                  <c:v>-2.7893974379448228</c:v>
                </c:pt>
                <c:pt idx="551">
                  <c:v>-2.801428324822167</c:v>
                </c:pt>
                <c:pt idx="552">
                  <c:v>-2.8134592359991841</c:v>
                </c:pt>
                <c:pt idx="553">
                  <c:v>-2.8254901714754936</c:v>
                </c:pt>
                <c:pt idx="554">
                  <c:v>-2.8375211312507145</c:v>
                </c:pt>
                <c:pt idx="555">
                  <c:v>-2.8495521153244652</c:v>
                </c:pt>
                <c:pt idx="556">
                  <c:v>-2.8615831236963651</c:v>
                </c:pt>
                <c:pt idx="557">
                  <c:v>-2.8736141563660329</c:v>
                </c:pt>
                <c:pt idx="558">
                  <c:v>-2.8856452133330874</c:v>
                </c:pt>
                <c:pt idx="559">
                  <c:v>-2.8976762945971477</c:v>
                </c:pt>
                <c:pt idx="560">
                  <c:v>-2.9097074001578327</c:v>
                </c:pt>
                <c:pt idx="561">
                  <c:v>-2.9217385300147614</c:v>
                </c:pt>
                <c:pt idx="562">
                  <c:v>-2.9337696841675527</c:v>
                </c:pt>
                <c:pt idx="563">
                  <c:v>-2.9458008626158256</c:v>
                </c:pt>
                <c:pt idx="564">
                  <c:v>-2.9578320653591987</c:v>
                </c:pt>
                <c:pt idx="565">
                  <c:v>-2.9698632923972914</c:v>
                </c:pt>
                <c:pt idx="566">
                  <c:v>-2.9818945437297226</c:v>
                </c:pt>
                <c:pt idx="567">
                  <c:v>-2.9939258193561109</c:v>
                </c:pt>
                <c:pt idx="568">
                  <c:v>-3.0059571192760757</c:v>
                </c:pt>
                <c:pt idx="569">
                  <c:v>-3.0179884434892355</c:v>
                </c:pt>
                <c:pt idx="570">
                  <c:v>-3.0300197919952097</c:v>
                </c:pt>
                <c:pt idx="571">
                  <c:v>-3.0420511647936168</c:v>
                </c:pt>
                <c:pt idx="572">
                  <c:v>-3.0540825618840763</c:v>
                </c:pt>
                <c:pt idx="573">
                  <c:v>-3.0661139832662072</c:v>
                </c:pt>
                <c:pt idx="574">
                  <c:v>-3.0781454289396279</c:v>
                </c:pt>
                <c:pt idx="575">
                  <c:v>-3.090176898903958</c:v>
                </c:pt>
                <c:pt idx="576">
                  <c:v>-3.1022083931588158</c:v>
                </c:pt>
                <c:pt idx="577">
                  <c:v>-3.1142399117038209</c:v>
                </c:pt>
                <c:pt idx="578">
                  <c:v>-3.1262714545385921</c:v>
                </c:pt>
                <c:pt idx="579">
                  <c:v>-3.1383030216627481</c:v>
                </c:pt>
                <c:pt idx="580">
                  <c:v>-3.1503346130759082</c:v>
                </c:pt>
                <c:pt idx="581">
                  <c:v>-3.1623662287776915</c:v>
                </c:pt>
                <c:pt idx="582">
                  <c:v>-3.1743978687677168</c:v>
                </c:pt>
                <c:pt idx="583">
                  <c:v>-3.1864295330456032</c:v>
                </c:pt>
                <c:pt idx="584">
                  <c:v>-3.1984612216109696</c:v>
                </c:pt>
                <c:pt idx="585">
                  <c:v>-3.210492934463435</c:v>
                </c:pt>
                <c:pt idx="586">
                  <c:v>-3.2225246716026184</c:v>
                </c:pt>
                <c:pt idx="587">
                  <c:v>-3.2345564330281391</c:v>
                </c:pt>
                <c:pt idx="588">
                  <c:v>-3.2465882187396158</c:v>
                </c:pt>
                <c:pt idx="589">
                  <c:v>-3.2586200287366678</c:v>
                </c:pt>
                <c:pt idx="590">
                  <c:v>-3.2706518630189141</c:v>
                </c:pt>
                <c:pt idx="591">
                  <c:v>-3.2826837215859732</c:v>
                </c:pt>
                <c:pt idx="592">
                  <c:v>-3.2947156044374646</c:v>
                </c:pt>
                <c:pt idx="593">
                  <c:v>-3.3067475115730072</c:v>
                </c:pt>
                <c:pt idx="594">
                  <c:v>-3.3187794429922204</c:v>
                </c:pt>
                <c:pt idx="595">
                  <c:v>-3.3308113986947228</c:v>
                </c:pt>
                <c:pt idx="596">
                  <c:v>-3.3428433786801337</c:v>
                </c:pt>
                <c:pt idx="597">
                  <c:v>-3.3548753829480717</c:v>
                </c:pt>
                <c:pt idx="598">
                  <c:v>-3.3669074114981563</c:v>
                </c:pt>
                <c:pt idx="599">
                  <c:v>-3.3789394643300064</c:v>
                </c:pt>
                <c:pt idx="600">
                  <c:v>-3.3909715414432413</c:v>
                </c:pt>
                <c:pt idx="601">
                  <c:v>-3.4030036428374797</c:v>
                </c:pt>
                <c:pt idx="602">
                  <c:v>-3.4150357685123409</c:v>
                </c:pt>
                <c:pt idx="603">
                  <c:v>-3.427067918467444</c:v>
                </c:pt>
                <c:pt idx="604">
                  <c:v>-3.4391000927024078</c:v>
                </c:pt>
                <c:pt idx="605">
                  <c:v>-3.4511322912168514</c:v>
                </c:pt>
                <c:pt idx="606">
                  <c:v>-3.4631645140103942</c:v>
                </c:pt>
                <c:pt idx="607">
                  <c:v>-3.4751967610826551</c:v>
                </c:pt>
                <c:pt idx="608">
                  <c:v>-3.4872290324332531</c:v>
                </c:pt>
                <c:pt idx="609">
                  <c:v>-3.4992613280618072</c:v>
                </c:pt>
                <c:pt idx="610">
                  <c:v>-3.5112936479679369</c:v>
                </c:pt>
                <c:pt idx="611">
                  <c:v>-3.523325992151261</c:v>
                </c:pt>
                <c:pt idx="612">
                  <c:v>-3.5353583606113985</c:v>
                </c:pt>
                <c:pt idx="613">
                  <c:v>-3.5473907533479685</c:v>
                </c:pt>
                <c:pt idx="614">
                  <c:v>-3.5594231703605903</c:v>
                </c:pt>
                <c:pt idx="615">
                  <c:v>-3.5714556116488829</c:v>
                </c:pt>
                <c:pt idx="616">
                  <c:v>-3.5834880772124653</c:v>
                </c:pt>
                <c:pt idx="617">
                  <c:v>-3.5955205670509569</c:v>
                </c:pt>
                <c:pt idx="618">
                  <c:v>-3.6075530811639767</c:v>
                </c:pt>
                <c:pt idx="619">
                  <c:v>-3.6195856195511436</c:v>
                </c:pt>
                <c:pt idx="620">
                  <c:v>-3.6316181822120766</c:v>
                </c:pt>
                <c:pt idx="621">
                  <c:v>-3.6436507691463951</c:v>
                </c:pt>
                <c:pt idx="622">
                  <c:v>-3.6556833803537181</c:v>
                </c:pt>
                <c:pt idx="623">
                  <c:v>-3.667716015833665</c:v>
                </c:pt>
                <c:pt idx="624">
                  <c:v>-3.6797486755858548</c:v>
                </c:pt>
                <c:pt idx="625">
                  <c:v>-3.6917813596099065</c:v>
                </c:pt>
                <c:pt idx="626">
                  <c:v>-3.7038140679054394</c:v>
                </c:pt>
                <c:pt idx="627">
                  <c:v>-3.7158468004720726</c:v>
                </c:pt>
                <c:pt idx="628">
                  <c:v>-3.727879557309425</c:v>
                </c:pt>
                <c:pt idx="629">
                  <c:v>-3.739912338417116</c:v>
                </c:pt>
                <c:pt idx="630">
                  <c:v>-3.7519451437947646</c:v>
                </c:pt>
                <c:pt idx="631">
                  <c:v>-3.7639779734419903</c:v>
                </c:pt>
                <c:pt idx="632">
                  <c:v>-3.7760108273584119</c:v>
                </c:pt>
                <c:pt idx="633">
                  <c:v>-3.7880437055436484</c:v>
                </c:pt>
                <c:pt idx="634">
                  <c:v>-3.8000766079973194</c:v>
                </c:pt>
                <c:pt idx="635">
                  <c:v>-3.8121095347190437</c:v>
                </c:pt>
                <c:pt idx="636">
                  <c:v>-3.8241424857084407</c:v>
                </c:pt>
                <c:pt idx="637">
                  <c:v>-3.8361754609651295</c:v>
                </c:pt>
                <c:pt idx="638">
                  <c:v>-3.8482084604887294</c:v>
                </c:pt>
                <c:pt idx="639">
                  <c:v>-3.8602414842788595</c:v>
                </c:pt>
                <c:pt idx="640">
                  <c:v>-3.8722745323351386</c:v>
                </c:pt>
                <c:pt idx="641">
                  <c:v>-3.8843076046571863</c:v>
                </c:pt>
                <c:pt idx="642">
                  <c:v>-3.8963407012446218</c:v>
                </c:pt>
                <c:pt idx="643">
                  <c:v>-3.9083738220970643</c:v>
                </c:pt>
                <c:pt idx="644">
                  <c:v>-3.9204069672141326</c:v>
                </c:pt>
                <c:pt idx="645">
                  <c:v>-3.9324401365954462</c:v>
                </c:pt>
                <c:pt idx="646">
                  <c:v>-3.9444733302406241</c:v>
                </c:pt>
                <c:pt idx="647">
                  <c:v>-3.9565065481492856</c:v>
                </c:pt>
                <c:pt idx="648">
                  <c:v>-3.9685397903210502</c:v>
                </c:pt>
                <c:pt idx="649">
                  <c:v>-3.9805730567555369</c:v>
                </c:pt>
                <c:pt idx="650">
                  <c:v>-3.9926063474523645</c:v>
                </c:pt>
                <c:pt idx="651">
                  <c:v>-4.0046396624111527</c:v>
                </c:pt>
                <c:pt idx="652">
                  <c:v>-4.0166730016315206</c:v>
                </c:pt>
                <c:pt idx="653">
                  <c:v>-4.0287063651130879</c:v>
                </c:pt>
                <c:pt idx="654">
                  <c:v>-4.0407397528554725</c:v>
                </c:pt>
                <c:pt idx="655">
                  <c:v>-4.0527731648582952</c:v>
                </c:pt>
                <c:pt idx="656">
                  <c:v>-4.0648066011211741</c:v>
                </c:pt>
                <c:pt idx="657">
                  <c:v>-4.076840061643729</c:v>
                </c:pt>
                <c:pt idx="658">
                  <c:v>-4.088873546425579</c:v>
                </c:pt>
                <c:pt idx="659">
                  <c:v>-4.1009070554663429</c:v>
                </c:pt>
                <c:pt idx="660">
                  <c:v>-4.1129405887656407</c:v>
                </c:pt>
                <c:pt idx="661">
                  <c:v>-4.1249741463230905</c:v>
                </c:pt>
                <c:pt idx="662">
                  <c:v>-4.1370077281383129</c:v>
                </c:pt>
                <c:pt idx="663">
                  <c:v>-4.149041334210926</c:v>
                </c:pt>
                <c:pt idx="664">
                  <c:v>-4.1610749645405498</c:v>
                </c:pt>
                <c:pt idx="665">
                  <c:v>-4.1731086191268032</c:v>
                </c:pt>
                <c:pt idx="666">
                  <c:v>-4.185142297969306</c:v>
                </c:pt>
                <c:pt idx="667">
                  <c:v>-4.1971760010676764</c:v>
                </c:pt>
                <c:pt idx="668">
                  <c:v>-4.2092097284215351</c:v>
                </c:pt>
                <c:pt idx="669">
                  <c:v>-4.2212434800305001</c:v>
                </c:pt>
                <c:pt idx="670">
                  <c:v>-4.2332772558941913</c:v>
                </c:pt>
                <c:pt idx="671">
                  <c:v>-4.2453110560122278</c:v>
                </c:pt>
                <c:pt idx="672">
                  <c:v>-4.2573448803842284</c:v>
                </c:pt>
                <c:pt idx="673">
                  <c:v>-4.2693787290098131</c:v>
                </c:pt>
                <c:pt idx="674">
                  <c:v>-4.2814126018886007</c:v>
                </c:pt>
                <c:pt idx="675">
                  <c:v>-4.2934464990202112</c:v>
                </c:pt>
                <c:pt idx="676">
                  <c:v>-4.3054804204042636</c:v>
                </c:pt>
                <c:pt idx="677">
                  <c:v>-4.3175143660403767</c:v>
                </c:pt>
                <c:pt idx="678">
                  <c:v>-4.3295483359281697</c:v>
                </c:pt>
                <c:pt idx="679">
                  <c:v>-4.3415823300672622</c:v>
                </c:pt>
                <c:pt idx="680">
                  <c:v>-4.3536163484572743</c:v>
                </c:pt>
                <c:pt idx="681">
                  <c:v>-4.3656503910978239</c:v>
                </c:pt>
                <c:pt idx="682">
                  <c:v>-4.377684457988531</c:v>
                </c:pt>
                <c:pt idx="683">
                  <c:v>-4.3897185491290154</c:v>
                </c:pt>
                <c:pt idx="684">
                  <c:v>-4.401752664518896</c:v>
                </c:pt>
                <c:pt idx="685">
                  <c:v>-4.4137868041577919</c:v>
                </c:pt>
                <c:pt idx="686">
                  <c:v>-4.425820968045322</c:v>
                </c:pt>
                <c:pt idx="687">
                  <c:v>-4.4378551561811062</c:v>
                </c:pt>
                <c:pt idx="688">
                  <c:v>-4.4498893685647642</c:v>
                </c:pt>
                <c:pt idx="689">
                  <c:v>-4.4619236051959152</c:v>
                </c:pt>
                <c:pt idx="690">
                  <c:v>-4.4739578660741781</c:v>
                </c:pt>
                <c:pt idx="691">
                  <c:v>-4.4859921511991718</c:v>
                </c:pt>
                <c:pt idx="692">
                  <c:v>-4.4980264605705162</c:v>
                </c:pt>
                <c:pt idx="693">
                  <c:v>-4.5100607941878312</c:v>
                </c:pt>
                <c:pt idx="694">
                  <c:v>-4.5220951520507358</c:v>
                </c:pt>
                <c:pt idx="695">
                  <c:v>-4.5341295341588488</c:v>
                </c:pt>
                <c:pt idx="696">
                  <c:v>-4.5461639405117893</c:v>
                </c:pt>
                <c:pt idx="697">
                  <c:v>-4.5581983711091771</c:v>
                </c:pt>
                <c:pt idx="698">
                  <c:v>-4.5702328259506322</c:v>
                </c:pt>
                <c:pt idx="699">
                  <c:v>-4.5822673050357734</c:v>
                </c:pt>
                <c:pt idx="700">
                  <c:v>-4.5943018083642198</c:v>
                </c:pt>
                <c:pt idx="701">
                  <c:v>-4.6063363359355911</c:v>
                </c:pt>
                <c:pt idx="702">
                  <c:v>-4.6183708877495064</c:v>
                </c:pt>
                <c:pt idx="703">
                  <c:v>-4.6304054638055856</c:v>
                </c:pt>
                <c:pt idx="704">
                  <c:v>-4.6424400641034476</c:v>
                </c:pt>
                <c:pt idx="705">
                  <c:v>-4.6544746886427122</c:v>
                </c:pt>
                <c:pt idx="706">
                  <c:v>-4.6665093374229984</c:v>
                </c:pt>
                <c:pt idx="707">
                  <c:v>-4.6785440104439253</c:v>
                </c:pt>
                <c:pt idx="708">
                  <c:v>-4.6905787077051126</c:v>
                </c:pt>
                <c:pt idx="709">
                  <c:v>-4.7026134292061803</c:v>
                </c:pt>
                <c:pt idx="710">
                  <c:v>-4.7146481749467473</c:v>
                </c:pt>
                <c:pt idx="711">
                  <c:v>-4.7266829449264325</c:v>
                </c:pt>
                <c:pt idx="712">
                  <c:v>-4.7387177391448558</c:v>
                </c:pt>
                <c:pt idx="713">
                  <c:v>-4.7507525576016363</c:v>
                </c:pt>
                <c:pt idx="714">
                  <c:v>-4.7627874002963937</c:v>
                </c:pt>
                <c:pt idx="715">
                  <c:v>-4.7748222672287479</c:v>
                </c:pt>
                <c:pt idx="716">
                  <c:v>-4.786857158398317</c:v>
                </c:pt>
                <c:pt idx="717">
                  <c:v>-4.7988920738047218</c:v>
                </c:pt>
                <c:pt idx="718">
                  <c:v>-4.8109270134475812</c:v>
                </c:pt>
                <c:pt idx="719">
                  <c:v>-4.8229619773265142</c:v>
                </c:pt>
                <c:pt idx="720">
                  <c:v>-4.8349969654411407</c:v>
                </c:pt>
                <c:pt idx="721">
                  <c:v>-4.8470319777910795</c:v>
                </c:pt>
                <c:pt idx="722">
                  <c:v>-4.8590670143759507</c:v>
                </c:pt>
                <c:pt idx="723">
                  <c:v>-4.8711020751953731</c:v>
                </c:pt>
                <c:pt idx="724">
                  <c:v>-4.8831371602489666</c:v>
                </c:pt>
                <c:pt idx="725">
                  <c:v>-4.8951722695363502</c:v>
                </c:pt>
                <c:pt idx="726">
                  <c:v>-4.9072074030571438</c:v>
                </c:pt>
                <c:pt idx="727">
                  <c:v>-4.9192425608109671</c:v>
                </c:pt>
                <c:pt idx="728">
                  <c:v>-4.9312777427974392</c:v>
                </c:pt>
                <c:pt idx="729">
                  <c:v>-4.9433129490161791</c:v>
                </c:pt>
                <c:pt idx="730">
                  <c:v>-4.9553481794668066</c:v>
                </c:pt>
                <c:pt idx="731">
                  <c:v>-4.9673834341489416</c:v>
                </c:pt>
                <c:pt idx="732">
                  <c:v>-4.979418713062203</c:v>
                </c:pt>
                <c:pt idx="733">
                  <c:v>-4.9914540162062107</c:v>
                </c:pt>
                <c:pt idx="734">
                  <c:v>-5.0034893435805836</c:v>
                </c:pt>
                <c:pt idx="735">
                  <c:v>-5.0155246951849417</c:v>
                </c:pt>
                <c:pt idx="736">
                  <c:v>-5.0275600710189039</c:v>
                </c:pt>
                <c:pt idx="737">
                  <c:v>-5.0395954710820901</c:v>
                </c:pt>
                <c:pt idx="738">
                  <c:v>-5.0516308953741191</c:v>
                </c:pt>
                <c:pt idx="739">
                  <c:v>-5.063666343894611</c:v>
                </c:pt>
                <c:pt idx="740">
                  <c:v>-5.0757018166431855</c:v>
                </c:pt>
                <c:pt idx="741">
                  <c:v>-5.0877373136194617</c:v>
                </c:pt>
                <c:pt idx="742">
                  <c:v>-5.0997728348230593</c:v>
                </c:pt>
                <c:pt idx="743">
                  <c:v>-5.1118083802535974</c:v>
                </c:pt>
                <c:pt idx="744">
                  <c:v>-5.1238439499106958</c:v>
                </c:pt>
                <c:pt idx="745">
                  <c:v>-5.1358795437939744</c:v>
                </c:pt>
                <c:pt idx="746">
                  <c:v>-5.1479151619030521</c:v>
                </c:pt>
                <c:pt idx="747">
                  <c:v>-5.1599508042375479</c:v>
                </c:pt>
                <c:pt idx="748">
                  <c:v>-5.1719864707970826</c:v>
                </c:pt>
                <c:pt idx="749">
                  <c:v>-5.1840221615812752</c:v>
                </c:pt>
                <c:pt idx="750">
                  <c:v>-5.1960578765897445</c:v>
                </c:pt>
                <c:pt idx="751">
                  <c:v>-5.2080936158221105</c:v>
                </c:pt>
                <c:pt idx="752">
                  <c:v>-5.220129379277993</c:v>
                </c:pt>
                <c:pt idx="753">
                  <c:v>-5.2321651669570111</c:v>
                </c:pt>
                <c:pt idx="754">
                  <c:v>-5.2442009788587844</c:v>
                </c:pt>
                <c:pt idx="755">
                  <c:v>-5.256236814982933</c:v>
                </c:pt>
                <c:pt idx="756">
                  <c:v>-5.2682726753290758</c:v>
                </c:pt>
                <c:pt idx="757">
                  <c:v>-5.2803085598968327</c:v>
                </c:pt>
                <c:pt idx="758">
                  <c:v>-5.2923444686858225</c:v>
                </c:pt>
                <c:pt idx="759">
                  <c:v>-5.3043804016956662</c:v>
                </c:pt>
                <c:pt idx="760">
                  <c:v>-5.3164163589259816</c:v>
                </c:pt>
                <c:pt idx="761">
                  <c:v>-5.3284523403763897</c:v>
                </c:pt>
                <c:pt idx="762">
                  <c:v>-5.3404883460465093</c:v>
                </c:pt>
                <c:pt idx="763">
                  <c:v>-5.3525243759359595</c:v>
                </c:pt>
                <c:pt idx="764">
                  <c:v>-5.364560430044361</c:v>
                </c:pt>
                <c:pt idx="765">
                  <c:v>-5.3765965083713327</c:v>
                </c:pt>
                <c:pt idx="766">
                  <c:v>-5.3886326109164946</c:v>
                </c:pt>
                <c:pt idx="767">
                  <c:v>-5.4006687376794655</c:v>
                </c:pt>
                <c:pt idx="768">
                  <c:v>-5.4127048886598654</c:v>
                </c:pt>
                <c:pt idx="769">
                  <c:v>-5.4247410638573141</c:v>
                </c:pt>
                <c:pt idx="770">
                  <c:v>-5.4367772632714306</c:v>
                </c:pt>
                <c:pt idx="771">
                  <c:v>-5.4488134869018348</c:v>
                </c:pt>
                <c:pt idx="772">
                  <c:v>-5.4608497347481464</c:v>
                </c:pt>
                <c:pt idx="773">
                  <c:v>-5.4728860068099845</c:v>
                </c:pt>
                <c:pt idx="774">
                  <c:v>-5.4849223030869689</c:v>
                </c:pt>
                <c:pt idx="775">
                  <c:v>-5.4969586235787196</c:v>
                </c:pt>
                <c:pt idx="776">
                  <c:v>-5.5089949682848554</c:v>
                </c:pt>
                <c:pt idx="777">
                  <c:v>-5.5210313372049971</c:v>
                </c:pt>
                <c:pt idx="778">
                  <c:v>-5.5330677303387628</c:v>
                </c:pt>
                <c:pt idx="779">
                  <c:v>-5.5451041476857732</c:v>
                </c:pt>
                <c:pt idx="780">
                  <c:v>-5.5571405892456474</c:v>
                </c:pt>
                <c:pt idx="781">
                  <c:v>-5.5691770550180051</c:v>
                </c:pt>
                <c:pt idx="782">
                  <c:v>-5.5812135450024662</c:v>
                </c:pt>
                <c:pt idx="783">
                  <c:v>-5.5932500591986498</c:v>
                </c:pt>
                <c:pt idx="784">
                  <c:v>-5.6052865976061756</c:v>
                </c:pt>
                <c:pt idx="785">
                  <c:v>-5.6173231602246636</c:v>
                </c:pt>
                <c:pt idx="786">
                  <c:v>-5.6293597470537335</c:v>
                </c:pt>
                <c:pt idx="787">
                  <c:v>-5.6413963580930044</c:v>
                </c:pt>
                <c:pt idx="788">
                  <c:v>-5.6534329933420961</c:v>
                </c:pt>
                <c:pt idx="789">
                  <c:v>-5.6654696528006285</c:v>
                </c:pt>
                <c:pt idx="790">
                  <c:v>-5.6775063364682214</c:v>
                </c:pt>
                <c:pt idx="791">
                  <c:v>-5.6895430443444939</c:v>
                </c:pt>
                <c:pt idx="792">
                  <c:v>-5.7015797764290657</c:v>
                </c:pt>
                <c:pt idx="793">
                  <c:v>-5.7136165327215567</c:v>
                </c:pt>
                <c:pt idx="794">
                  <c:v>-5.7256533132215859</c:v>
                </c:pt>
                <c:pt idx="795">
                  <c:v>-5.737690117928774</c:v>
                </c:pt>
                <c:pt idx="796">
                  <c:v>-5.7497269468427401</c:v>
                </c:pt>
                <c:pt idx="797">
                  <c:v>-5.7617637999631039</c:v>
                </c:pt>
                <c:pt idx="798">
                  <c:v>-5.7738006772894845</c:v>
                </c:pt>
                <c:pt idx="799">
                  <c:v>-5.7858375788215026</c:v>
                </c:pt>
                <c:pt idx="800">
                  <c:v>-5.7978745045587772</c:v>
                </c:pt>
                <c:pt idx="801">
                  <c:v>-5.8099114545009281</c:v>
                </c:pt>
                <c:pt idx="802">
                  <c:v>-5.8219484286475742</c:v>
                </c:pt>
                <c:pt idx="803">
                  <c:v>-5.8339854269983364</c:v>
                </c:pt>
                <c:pt idx="804">
                  <c:v>-5.8460224495528337</c:v>
                </c:pt>
                <c:pt idx="805">
                  <c:v>-5.8580594963106858</c:v>
                </c:pt>
                <c:pt idx="806">
                  <c:v>-5.8700965672715126</c:v>
                </c:pt>
                <c:pt idx="807">
                  <c:v>-5.8821336624349341</c:v>
                </c:pt>
                <c:pt idx="808">
                  <c:v>-5.8941707818005691</c:v>
                </c:pt>
                <c:pt idx="809">
                  <c:v>-5.9062079253680384</c:v>
                </c:pt>
                <c:pt idx="810">
                  <c:v>-5.918245093136961</c:v>
                </c:pt>
                <c:pt idx="811">
                  <c:v>-5.9302822851069568</c:v>
                </c:pt>
                <c:pt idx="812">
                  <c:v>-5.9423195012776455</c:v>
                </c:pt>
                <c:pt idx="813">
                  <c:v>-5.9543567416486463</c:v>
                </c:pt>
                <c:pt idx="814">
                  <c:v>-5.9663940062195797</c:v>
                </c:pt>
                <c:pt idx="815">
                  <c:v>-5.9784312949900649</c:v>
                </c:pt>
                <c:pt idx="816">
                  <c:v>-5.9904686079597216</c:v>
                </c:pt>
                <c:pt idx="817">
                  <c:v>-6.0025059451281697</c:v>
                </c:pt>
                <c:pt idx="818">
                  <c:v>-6.0145433064950282</c:v>
                </c:pt>
                <c:pt idx="819">
                  <c:v>-6.0265806920599179</c:v>
                </c:pt>
                <c:pt idx="820">
                  <c:v>-6.0386181018224576</c:v>
                </c:pt>
                <c:pt idx="821">
                  <c:v>-6.0506555357822682</c:v>
                </c:pt>
                <c:pt idx="822">
                  <c:v>-6.0626929939389687</c:v>
                </c:pt>
                <c:pt idx="823">
                  <c:v>-6.0747304762921788</c:v>
                </c:pt>
                <c:pt idx="824">
                  <c:v>-6.0867679828415184</c:v>
                </c:pt>
                <c:pt idx="825">
                  <c:v>-6.0988055135866066</c:v>
                </c:pt>
                <c:pt idx="826">
                  <c:v>-6.110843068527064</c:v>
                </c:pt>
                <c:pt idx="827">
                  <c:v>-6.1228806476625097</c:v>
                </c:pt>
                <c:pt idx="828">
                  <c:v>-6.1349182509925635</c:v>
                </c:pt>
                <c:pt idx="829">
                  <c:v>-6.1469558785168461</c:v>
                </c:pt>
                <c:pt idx="830">
                  <c:v>-6.1589935302349765</c:v>
                </c:pt>
                <c:pt idx="831">
                  <c:v>-6.1710312061465746</c:v>
                </c:pt>
                <c:pt idx="832">
                  <c:v>-6.1830689062512594</c:v>
                </c:pt>
                <c:pt idx="833">
                  <c:v>-6.1951066305486515</c:v>
                </c:pt>
                <c:pt idx="834">
                  <c:v>-6.2071443790383709</c:v>
                </c:pt>
                <c:pt idx="835">
                  <c:v>-6.2191821517200365</c:v>
                </c:pt>
                <c:pt idx="836">
                  <c:v>-6.2312199485932691</c:v>
                </c:pt>
                <c:pt idx="837">
                  <c:v>-6.2432577696576876</c:v>
                </c:pt>
                <c:pt idx="838">
                  <c:v>-6.255295614912912</c:v>
                </c:pt>
                <c:pt idx="839">
                  <c:v>-6.267333484358562</c:v>
                </c:pt>
                <c:pt idx="840">
                  <c:v>-6.2793713779942575</c:v>
                </c:pt>
                <c:pt idx="841">
                  <c:v>-6.2914092958196184</c:v>
                </c:pt>
                <c:pt idx="842">
                  <c:v>-6.3034472378342645</c:v>
                </c:pt>
                <c:pt idx="843">
                  <c:v>-6.3154852040378158</c:v>
                </c:pt>
                <c:pt idx="844">
                  <c:v>-6.3275231944298911</c:v>
                </c:pt>
                <c:pt idx="845">
                  <c:v>-6.3395612090101112</c:v>
                </c:pt>
                <c:pt idx="846">
                  <c:v>-6.351599247778096</c:v>
                </c:pt>
                <c:pt idx="847">
                  <c:v>-6.3636373107334645</c:v>
                </c:pt>
                <c:pt idx="848">
                  <c:v>-6.3756753978758374</c:v>
                </c:pt>
                <c:pt idx="849">
                  <c:v>-6.3877135092048336</c:v>
                </c:pt>
                <c:pt idx="850">
                  <c:v>-6.3997516447200731</c:v>
                </c:pt>
                <c:pt idx="851">
                  <c:v>-6.4117898044211765</c:v>
                </c:pt>
                <c:pt idx="852">
                  <c:v>-6.4238279883077629</c:v>
                </c:pt>
                <c:pt idx="853">
                  <c:v>-6.4358661963794521</c:v>
                </c:pt>
                <c:pt idx="854">
                  <c:v>-6.447904428635864</c:v>
                </c:pt>
                <c:pt idx="855">
                  <c:v>-6.4599426850766184</c:v>
                </c:pt>
                <c:pt idx="856">
                  <c:v>-6.4719809657013352</c:v>
                </c:pt>
                <c:pt idx="857">
                  <c:v>-6.4840192705096342</c:v>
                </c:pt>
                <c:pt idx="858">
                  <c:v>-6.4960575995011354</c:v>
                </c:pt>
                <c:pt idx="859">
                  <c:v>-6.5080959526754585</c:v>
                </c:pt>
                <c:pt idx="860">
                  <c:v>-6.5201343300322234</c:v>
                </c:pt>
                <c:pt idx="861">
                  <c:v>-6.5321727315710501</c:v>
                </c:pt>
                <c:pt idx="862">
                  <c:v>-6.5442111572915582</c:v>
                </c:pt>
                <c:pt idx="863">
                  <c:v>-6.5562496071933678</c:v>
                </c:pt>
                <c:pt idx="864">
                  <c:v>-6.5682880812760986</c:v>
                </c:pt>
                <c:pt idx="865">
                  <c:v>-6.5803265795393706</c:v>
                </c:pt>
                <c:pt idx="866">
                  <c:v>-6.5923651019828036</c:v>
                </c:pt>
                <c:pt idx="867">
                  <c:v>-6.6044036486060174</c:v>
                </c:pt>
                <c:pt idx="868">
                  <c:v>-6.6164422194086319</c:v>
                </c:pt>
                <c:pt idx="869">
                  <c:v>-6.6284808143902669</c:v>
                </c:pt>
                <c:pt idx="870">
                  <c:v>-6.6405194335505424</c:v>
                </c:pt>
                <c:pt idx="871">
                  <c:v>-6.6525580768890782</c:v>
                </c:pt>
                <c:pt idx="872">
                  <c:v>-6.6645967444054941</c:v>
                </c:pt>
                <c:pt idx="873">
                  <c:v>-6.67663543609941</c:v>
                </c:pt>
                <c:pt idx="874">
                  <c:v>-6.6886741519704458</c:v>
                </c:pt>
                <c:pt idx="875">
                  <c:v>-6.7007128920182213</c:v>
                </c:pt>
                <c:pt idx="876">
                  <c:v>-6.7127516562423564</c:v>
                </c:pt>
                <c:pt idx="877">
                  <c:v>-6.7247904446424709</c:v>
                </c:pt>
                <c:pt idx="878">
                  <c:v>-6.7368292572181856</c:v>
                </c:pt>
                <c:pt idx="879">
                  <c:v>-6.7488680939691195</c:v>
                </c:pt>
                <c:pt idx="880">
                  <c:v>-6.7609069548948924</c:v>
                </c:pt>
                <c:pt idx="881">
                  <c:v>-6.772945839995125</c:v>
                </c:pt>
                <c:pt idx="882">
                  <c:v>-6.7849847492694364</c:v>
                </c:pt>
                <c:pt idx="883">
                  <c:v>-6.7970236827174473</c:v>
                </c:pt>
                <c:pt idx="884">
                  <c:v>-6.8090626403387766</c:v>
                </c:pt>
                <c:pt idx="885">
                  <c:v>-6.8211016221330452</c:v>
                </c:pt>
                <c:pt idx="886">
                  <c:v>-6.8331406280998719</c:v>
                </c:pt>
                <c:pt idx="887">
                  <c:v>-6.8451796582388775</c:v>
                </c:pt>
                <c:pt idx="888">
                  <c:v>-6.857218712549682</c:v>
                </c:pt>
                <c:pt idx="889">
                  <c:v>-6.869257791031905</c:v>
                </c:pt>
                <c:pt idx="890">
                  <c:v>-6.8812968936851666</c:v>
                </c:pt>
                <c:pt idx="891">
                  <c:v>-6.8933360205090866</c:v>
                </c:pt>
                <c:pt idx="892">
                  <c:v>-6.9053751715032847</c:v>
                </c:pt>
                <c:pt idx="893">
                  <c:v>-6.917414346667381</c:v>
                </c:pt>
                <c:pt idx="894">
                  <c:v>-6.9294535460009961</c:v>
                </c:pt>
                <c:pt idx="895">
                  <c:v>-6.9414927695037489</c:v>
                </c:pt>
                <c:pt idx="896">
                  <c:v>-6.9535320171752604</c:v>
                </c:pt>
                <c:pt idx="897">
                  <c:v>-6.9655712890151502</c:v>
                </c:pt>
                <c:pt idx="898">
                  <c:v>-6.9776105850230374</c:v>
                </c:pt>
                <c:pt idx="899">
                  <c:v>-6.9896499051985428</c:v>
                </c:pt>
                <c:pt idx="900">
                  <c:v>-7.0016892495412861</c:v>
                </c:pt>
                <c:pt idx="901">
                  <c:v>-7.0137286180508873</c:v>
                </c:pt>
                <c:pt idx="902">
                  <c:v>-7.0257680107269671</c:v>
                </c:pt>
                <c:pt idx="903">
                  <c:v>-7.0378074275691445</c:v>
                </c:pt>
                <c:pt idx="904">
                  <c:v>-7.0498468685770392</c:v>
                </c:pt>
                <c:pt idx="905">
                  <c:v>-7.0618863337502722</c:v>
                </c:pt>
                <c:pt idx="906">
                  <c:v>-7.0739258230884632</c:v>
                </c:pt>
                <c:pt idx="907">
                  <c:v>-7.0859653365912321</c:v>
                </c:pt>
                <c:pt idx="908">
                  <c:v>-7.0980048742581987</c:v>
                </c:pt>
                <c:pt idx="909">
                  <c:v>-7.110044436088983</c:v>
                </c:pt>
                <c:pt idx="910">
                  <c:v>-7.1220840220832056</c:v>
                </c:pt>
                <c:pt idx="911">
                  <c:v>-7.1341236322404855</c:v>
                </c:pt>
                <c:pt idx="912">
                  <c:v>-7.1461632665604435</c:v>
                </c:pt>
                <c:pt idx="913">
                  <c:v>-7.1582029250426995</c:v>
                </c:pt>
                <c:pt idx="914">
                  <c:v>-7.1702426076868733</c:v>
                </c:pt>
                <c:pt idx="915">
                  <c:v>-7.1822823144925847</c:v>
                </c:pt>
                <c:pt idx="916">
                  <c:v>-7.1943220454594536</c:v>
                </c:pt>
                <c:pt idx="917">
                  <c:v>-7.2063618005871009</c:v>
                </c:pt>
                <c:pt idx="918">
                  <c:v>-7.2184015798751453</c:v>
                </c:pt>
                <c:pt idx="919">
                  <c:v>-7.2304413833232077</c:v>
                </c:pt>
                <c:pt idx="920">
                  <c:v>-7.242481210930908</c:v>
                </c:pt>
                <c:pt idx="921">
                  <c:v>-7.2545210626978669</c:v>
                </c:pt>
                <c:pt idx="922">
                  <c:v>-7.2665609386237033</c:v>
                </c:pt>
                <c:pt idx="923">
                  <c:v>-7.2786008387080381</c:v>
                </c:pt>
                <c:pt idx="924">
                  <c:v>-7.290640762950491</c:v>
                </c:pt>
                <c:pt idx="925">
                  <c:v>-7.302680711350682</c:v>
                </c:pt>
                <c:pt idx="926">
                  <c:v>-7.3147206839082308</c:v>
                </c:pt>
                <c:pt idx="927">
                  <c:v>-7.3267606806227574</c:v>
                </c:pt>
                <c:pt idx="928">
                  <c:v>-7.3388007014938825</c:v>
                </c:pt>
                <c:pt idx="929">
                  <c:v>-7.350840746521226</c:v>
                </c:pt>
                <c:pt idx="930">
                  <c:v>-7.3628808157044077</c:v>
                </c:pt>
                <c:pt idx="931">
                  <c:v>-7.3749209090430474</c:v>
                </c:pt>
                <c:pt idx="932">
                  <c:v>-7.386961026536766</c:v>
                </c:pt>
                <c:pt idx="933">
                  <c:v>-7.3990011681851833</c:v>
                </c:pt>
                <c:pt idx="934">
                  <c:v>-7.4110413339879191</c:v>
                </c:pt>
                <c:pt idx="935">
                  <c:v>-7.4230815239445933</c:v>
                </c:pt>
                <c:pt idx="936">
                  <c:v>-7.4351217380548258</c:v>
                </c:pt>
                <c:pt idx="937">
                  <c:v>-7.4471619763182373</c:v>
                </c:pt>
                <c:pt idx="938">
                  <c:v>-7.4592022387344477</c:v>
                </c:pt>
                <c:pt idx="939">
                  <c:v>-7.4712425253030768</c:v>
                </c:pt>
                <c:pt idx="940">
                  <c:v>-7.4832828360237453</c:v>
                </c:pt>
                <c:pt idx="941">
                  <c:v>-7.4953231708960733</c:v>
                </c:pt>
                <c:pt idx="942">
                  <c:v>-7.5073635299196804</c:v>
                </c:pt>
                <c:pt idx="943">
                  <c:v>-7.5194039130941865</c:v>
                </c:pt>
                <c:pt idx="944">
                  <c:v>-7.5314443204192116</c:v>
                </c:pt>
                <c:pt idx="945">
                  <c:v>-7.5434847518943764</c:v>
                </c:pt>
                <c:pt idx="946">
                  <c:v>-7.5555252075193007</c:v>
                </c:pt>
                <c:pt idx="947">
                  <c:v>-7.5675656872936052</c:v>
                </c:pt>
                <c:pt idx="948">
                  <c:v>-7.579606191216909</c:v>
                </c:pt>
                <c:pt idx="949">
                  <c:v>-7.5916467192888328</c:v>
                </c:pt>
                <c:pt idx="950">
                  <c:v>-7.6036872715089974</c:v>
                </c:pt>
                <c:pt idx="951">
                  <c:v>-7.6157278478770216</c:v>
                </c:pt>
                <c:pt idx="952">
                  <c:v>-7.6277684483925263</c:v>
                </c:pt>
                <c:pt idx="953">
                  <c:v>-7.6398090730551313</c:v>
                </c:pt>
                <c:pt idx="954">
                  <c:v>-7.6518497218644566</c:v>
                </c:pt>
                <c:pt idx="955">
                  <c:v>-7.6638903948201227</c:v>
                </c:pt>
                <c:pt idx="956">
                  <c:v>-7.6759310919217496</c:v>
                </c:pt>
                <c:pt idx="957">
                  <c:v>-7.6879718131689572</c:v>
                </c:pt>
                <c:pt idx="958">
                  <c:v>-7.7000125585613661</c:v>
                </c:pt>
                <c:pt idx="959">
                  <c:v>-7.7120533280985963</c:v>
                </c:pt>
                <c:pt idx="960">
                  <c:v>-7.7240941217802677</c:v>
                </c:pt>
                <c:pt idx="961">
                  <c:v>-7.7361349396060008</c:v>
                </c:pt>
                <c:pt idx="962">
                  <c:v>-7.7481757815754158</c:v>
                </c:pt>
                <c:pt idx="963">
                  <c:v>-7.7602166476881322</c:v>
                </c:pt>
                <c:pt idx="964">
                  <c:v>-7.7722575379437711</c:v>
                </c:pt>
                <c:pt idx="965">
                  <c:v>-7.7842984523419521</c:v>
                </c:pt>
                <c:pt idx="966">
                  <c:v>-7.7963393908822951</c:v>
                </c:pt>
                <c:pt idx="967">
                  <c:v>-7.8083803535644201</c:v>
                </c:pt>
                <c:pt idx="968">
                  <c:v>-7.8204213403879477</c:v>
                </c:pt>
                <c:pt idx="969">
                  <c:v>-7.8324623513524987</c:v>
                </c:pt>
                <c:pt idx="970">
                  <c:v>-7.8445033864576921</c:v>
                </c:pt>
                <c:pt idx="971">
                  <c:v>-7.8565444457031495</c:v>
                </c:pt>
                <c:pt idx="972">
                  <c:v>-7.8685855290884898</c:v>
                </c:pt>
                <c:pt idx="973">
                  <c:v>-7.880626636613334</c:v>
                </c:pt>
                <c:pt idx="974">
                  <c:v>-7.8926677682773017</c:v>
                </c:pt>
                <c:pt idx="975">
                  <c:v>-7.9047089240800128</c:v>
                </c:pt>
                <c:pt idx="976">
                  <c:v>-7.9167501040210881</c:v>
                </c:pt>
                <c:pt idx="977">
                  <c:v>-7.9287913081001475</c:v>
                </c:pt>
                <c:pt idx="978">
                  <c:v>-7.9408325363168117</c:v>
                </c:pt>
                <c:pt idx="979">
                  <c:v>-7.9528737886707006</c:v>
                </c:pt>
                <c:pt idx="980">
                  <c:v>-7.9649150651614349</c:v>
                </c:pt>
                <c:pt idx="981">
                  <c:v>-7.9769563657886335</c:v>
                </c:pt>
                <c:pt idx="982">
                  <c:v>-7.9889976905519182</c:v>
                </c:pt>
                <c:pt idx="983">
                  <c:v>-8.0010390394509088</c:v>
                </c:pt>
                <c:pt idx="984">
                  <c:v>-8.0130804124852251</c:v>
                </c:pt>
                <c:pt idx="985">
                  <c:v>-8.0251218096544861</c:v>
                </c:pt>
                <c:pt idx="986">
                  <c:v>-8.0371632309583134</c:v>
                </c:pt>
                <c:pt idx="987">
                  <c:v>-8.049204676396327</c:v>
                </c:pt>
                <c:pt idx="988">
                  <c:v>-8.0612461459681484</c:v>
                </c:pt>
                <c:pt idx="989">
                  <c:v>-8.0732876396733957</c:v>
                </c:pt>
                <c:pt idx="990">
                  <c:v>-8.0853291575116906</c:v>
                </c:pt>
                <c:pt idx="991">
                  <c:v>-8.0973706994826529</c:v>
                </c:pt>
                <c:pt idx="992">
                  <c:v>-8.1094122655859024</c:v>
                </c:pt>
                <c:pt idx="993">
                  <c:v>-8.1214538558210609</c:v>
                </c:pt>
                <c:pt idx="994">
                  <c:v>-8.1334954701877464</c:v>
                </c:pt>
                <c:pt idx="995">
                  <c:v>-8.1455371086855806</c:v>
                </c:pt>
                <c:pt idx="996">
                  <c:v>-8.1575787713141832</c:v>
                </c:pt>
                <c:pt idx="997">
                  <c:v>-8.1696204580731742</c:v>
                </c:pt>
                <c:pt idx="998">
                  <c:v>-8.1816621689621751</c:v>
                </c:pt>
                <c:pt idx="999">
                  <c:v>-8.1937039039808059</c:v>
                </c:pt>
                <c:pt idx="1000">
                  <c:v>-8.2057456631286865</c:v>
                </c:pt>
              </c:numCache>
            </c:numRef>
          </c:yVal>
          <c:smooth val="0"/>
          <c:extLst>
            <c:ext xmlns:c16="http://schemas.microsoft.com/office/drawing/2014/chart" uri="{C3380CC4-5D6E-409C-BE32-E72D297353CC}">
              <c16:uniqueId val="{00000001-B5CC-4BD6-9E0D-EA30945FB569}"/>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Pro54-5G WT</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0.01</c:v>
                </c:pt>
                <c:pt idx="2">
                  <c:v>0.02</c:v>
                </c:pt>
                <c:pt idx="3">
                  <c:v>0.05</c:v>
                </c:pt>
                <c:pt idx="4">
                  <c:v>0.1</c:v>
                </c:pt>
                <c:pt idx="5">
                  <c:v>0.2</c:v>
                </c:pt>
                <c:pt idx="6">
                  <c:v>0.4</c:v>
                </c:pt>
                <c:pt idx="7">
                  <c:v>0.8</c:v>
                </c:pt>
                <c:pt idx="8">
                  <c:v>0.9</c:v>
                </c:pt>
                <c:pt idx="9">
                  <c:v>1</c:v>
                </c:pt>
                <c:pt idx="10">
                  <c:v>1.1000000000000001</c:v>
                </c:pt>
                <c:pt idx="11">
                  <c:v>1.2</c:v>
                </c:pt>
                <c:pt idx="12">
                  <c:v>1.3</c:v>
                </c:pt>
                <c:pt idx="13">
                  <c:v>1.4</c:v>
                </c:pt>
                <c:pt idx="14">
                  <c:v>1.55</c:v>
                </c:pt>
                <c:pt idx="15">
                  <c:v>1.6</c:v>
                </c:pt>
                <c:pt idx="16">
                  <c:v>1.62</c:v>
                </c:pt>
                <c:pt idx="17">
                  <c:v>1.64</c:v>
                </c:pt>
                <c:pt idx="18">
                  <c:v>1.66</c:v>
                </c:pt>
                <c:pt idx="19">
                  <c:v>1.67</c:v>
                </c:pt>
                <c:pt idx="20">
                  <c:v>1.68</c:v>
                </c:pt>
                <c:pt idx="21">
                  <c:v>1.69</c:v>
                </c:pt>
                <c:pt idx="22">
                  <c:v>1.7</c:v>
                </c:pt>
              </c:numCache>
            </c:numRef>
          </c:xVal>
          <c:yVal>
            <c:numRef>
              <c:f>Propu!$B$4:$X$4</c:f>
              <c:numCache>
                <c:formatCode>General</c:formatCode>
                <c:ptCount val="23"/>
                <c:pt idx="0">
                  <c:v>0</c:v>
                </c:pt>
                <c:pt idx="1">
                  <c:v>492.25</c:v>
                </c:pt>
                <c:pt idx="2">
                  <c:v>1369.46</c:v>
                </c:pt>
                <c:pt idx="3">
                  <c:v>1236.01</c:v>
                </c:pt>
                <c:pt idx="4">
                  <c:v>1279.47</c:v>
                </c:pt>
                <c:pt idx="5">
                  <c:v>1311.39</c:v>
                </c:pt>
                <c:pt idx="6">
                  <c:v>1331.39</c:v>
                </c:pt>
                <c:pt idx="7">
                  <c:v>1304.08</c:v>
                </c:pt>
                <c:pt idx="8">
                  <c:v>1280.6199999999999</c:v>
                </c:pt>
                <c:pt idx="9">
                  <c:v>1249.8599999999999</c:v>
                </c:pt>
                <c:pt idx="10">
                  <c:v>1217.94</c:v>
                </c:pt>
                <c:pt idx="11">
                  <c:v>1199.29</c:v>
                </c:pt>
                <c:pt idx="12">
                  <c:v>1158.77</c:v>
                </c:pt>
                <c:pt idx="13">
                  <c:v>1112.56</c:v>
                </c:pt>
                <c:pt idx="14">
                  <c:v>941.81</c:v>
                </c:pt>
                <c:pt idx="15">
                  <c:v>726.07</c:v>
                </c:pt>
                <c:pt idx="16">
                  <c:v>559.16999999999996</c:v>
                </c:pt>
                <c:pt idx="17">
                  <c:v>399.95</c:v>
                </c:pt>
                <c:pt idx="18">
                  <c:v>317.66000000000003</c:v>
                </c:pt>
                <c:pt idx="19">
                  <c:v>247.28</c:v>
                </c:pt>
                <c:pt idx="20">
                  <c:v>198.05</c:v>
                </c:pt>
                <c:pt idx="21">
                  <c:v>67.3</c:v>
                </c:pt>
                <c:pt idx="22">
                  <c:v>0</c:v>
                </c:pt>
              </c:numCache>
            </c:numRef>
          </c:yVal>
          <c:smooth val="0"/>
          <c:extLst>
            <c:ext xmlns:c16="http://schemas.microsoft.com/office/drawing/2014/chart" uri="{C3380CC4-5D6E-409C-BE32-E72D297353CC}">
              <c16:uniqueId val="{00000000-8EF7-4299-9A20-8D075AE9918F}"/>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3" inc="25" max="30000" noThreeD="1" page="10" val="252"/>
</file>

<file path=xl/ctrlProps/ctrlProp10.xml><?xml version="1.0" encoding="utf-8"?>
<formControlPr xmlns="http://schemas.microsoft.com/office/spreadsheetml/2009/9/main" objectType="Spin" dx="15" fmlaLink="$C$33" max="6" min="3" noThreeD="1" page="10" val="4"/>
</file>

<file path=xl/ctrlProps/ctrlProp11.xml><?xml version="1.0" encoding="utf-8"?>
<formControlPr xmlns="http://schemas.microsoft.com/office/spreadsheetml/2009/9/main" objectType="Spin" dx="15" fmlaLink="$C$14" inc="50" max="30000" noThreeD="1" page="10" val="2052"/>
</file>

<file path=xl/ctrlProps/ctrlProp12.xml><?xml version="1.0" encoding="utf-8"?>
<formControlPr xmlns="http://schemas.microsoft.com/office/spreadsheetml/2009/9/main" objectType="Spin" dx="15" fmlaLink="$C$12" inc="100" max="30000" noThreeD="1" page="10" val="7327"/>
</file>

<file path=xl/ctrlProps/ctrlProp13.xml><?xml version="1.0" encoding="utf-8"?>
<formControlPr xmlns="http://schemas.microsoft.com/office/spreadsheetml/2009/9/main" objectType="Spin" dx="15" fmlaLink="$C$12" inc="100" max="30000" noThreeD="1" page="10" val="7327"/>
</file>

<file path=xl/ctrlProps/ctrlProp14.xml><?xml version="1.0" encoding="utf-8"?>
<formControlPr xmlns="http://schemas.microsoft.com/office/spreadsheetml/2009/9/main" objectType="Spin" dx="15" fmlaLink="Stabilito!C12" inc="100" max="30000" noThreeD="1" page="10" val="7327"/>
</file>

<file path=xl/ctrlProps/ctrlProp15.xml><?xml version="1.0" encoding="utf-8"?>
<formControlPr xmlns="http://schemas.microsoft.com/office/spreadsheetml/2009/9/main" objectType="Spin" dx="15" fmlaLink="$B$44" inc="50" max="30000" noThreeD="1" page="10" val="310"/>
</file>

<file path=xl/ctrlProps/ctrlProp16.xml><?xml version="1.0" encoding="utf-8"?>
<formControlPr xmlns="http://schemas.microsoft.com/office/spreadsheetml/2009/9/main" objectType="Spin" dx="15" fmlaLink="$B$46" inc="50" max="30000" noThreeD="1" page="10" val="310"/>
</file>

<file path=xl/ctrlProps/ctrlProp17.xml><?xml version="1.0" encoding="utf-8"?>
<formControlPr xmlns="http://schemas.microsoft.com/office/spreadsheetml/2009/9/main" objectType="Spin" dx="15" fmlaLink="$B$52" inc="50" max="30000" noThreeD="1" page="10" val="299"/>
</file>

<file path=xl/ctrlProps/ctrlProp18.xml><?xml version="1.0" encoding="utf-8"?>
<formControlPr xmlns="http://schemas.microsoft.com/office/spreadsheetml/2009/9/main" objectType="Spin" dx="15" fmlaLink="$B$54" inc="5" max="30000" noThreeD="1" page="10" val="29"/>
</file>

<file path=xl/ctrlProps/ctrlProp19.xml><?xml version="1.0" encoding="utf-8"?>
<formControlPr xmlns="http://schemas.microsoft.com/office/spreadsheetml/2009/9/main" objectType="Spin" dx="15" fmlaLink="Stabilito!C12" inc="100" max="30000" noThreeD="1" page="10" val="7327"/>
</file>

<file path=xl/ctrlProps/ctrlProp2.xml><?xml version="1.0" encoding="utf-8"?>
<formControlPr xmlns="http://schemas.microsoft.com/office/spreadsheetml/2009/9/main" objectType="Spin" dx="15" fmlaLink="$C$12" inc="100" max="30000" noThreeD="1" page="10" val="7327"/>
</file>

<file path=xl/ctrlProps/ctrlProp20.xml><?xml version="1.0" encoding="utf-8"?>
<formControlPr xmlns="http://schemas.microsoft.com/office/spreadsheetml/2009/9/main" objectType="Spin" dx="15" fmlaLink="Stabilito!C12" inc="100" max="30000" noThreeD="1" page="10" val="7327"/>
</file>

<file path=xl/ctrlProps/ctrlProp3.xml><?xml version="1.0" encoding="utf-8"?>
<formControlPr xmlns="http://schemas.microsoft.com/office/spreadsheetml/2009/9/main" objectType="Spin" dx="15" fmlaLink="$C$13" inc="50" max="30000" noThreeD="1" page="10" val="1040"/>
</file>

<file path=xl/ctrlProps/ctrlProp4.xml><?xml version="1.0" encoding="utf-8"?>
<formControlPr xmlns="http://schemas.microsoft.com/office/spreadsheetml/2009/9/main" objectType="Spin" dx="15" fmlaLink="$C$24" inc="20" max="30000" noThreeD="1" page="10" val="84"/>
</file>

<file path=xl/ctrlProps/ctrlProp5.xml><?xml version="1.0" encoding="utf-8"?>
<formControlPr xmlns="http://schemas.microsoft.com/office/spreadsheetml/2009/9/main" objectType="Spin" dx="15" fmlaLink="$C$28" inc="10" max="30000" noThreeD="1" page="10" val="190"/>
</file>

<file path=xl/ctrlProps/ctrlProp6.xml><?xml version="1.0" encoding="utf-8"?>
<formControlPr xmlns="http://schemas.microsoft.com/office/spreadsheetml/2009/9/main" objectType="Spin" dx="15" fmlaLink="$C$29" inc="10" max="30000" noThreeD="1" page="10" val="80"/>
</file>

<file path=xl/ctrlProps/ctrlProp7.xml><?xml version="1.0" encoding="utf-8"?>
<formControlPr xmlns="http://schemas.microsoft.com/office/spreadsheetml/2009/9/main" objectType="Spin" dx="15" fmlaLink="$C$30" inc="10" max="30000" noThreeD="1" page="10" val="180"/>
</file>

<file path=xl/ctrlProps/ctrlProp8.xml><?xml version="1.0" encoding="utf-8"?>
<formControlPr xmlns="http://schemas.microsoft.com/office/spreadsheetml/2009/9/main" objectType="Spin" dx="15" fmlaLink="$C$31" inc="10" max="30000" noThreeD="1" page="10" val="145"/>
</file>

<file path=xl/ctrlProps/ctrlProp9.xml><?xml version="1.0" encoding="utf-8"?>
<formControlPr xmlns="http://schemas.microsoft.com/office/spreadsheetml/2009/9/main" objectType="Spin" dx="15" fmlaLink="$C$32" max="30000" noThreeD="1" page="10" val="3"/>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372074" y="191052"/>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981075</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38</xdr:row>
      <xdr:rowOff>0</xdr:rowOff>
    </xdr:from>
    <xdr:to>
      <xdr:col>3</xdr:col>
      <xdr:colOff>1270</xdr:colOff>
      <xdr:row>49</xdr:row>
      <xdr:rowOff>66675</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561975</xdr:colOff>
      <xdr:row>9</xdr:row>
      <xdr:rowOff>20320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752475</xdr:colOff>
          <xdr:row>22</xdr:row>
          <xdr:rowOff>0</xdr:rowOff>
        </xdr:from>
        <xdr:to>
          <xdr:col>3</xdr:col>
          <xdr:colOff>895350</xdr:colOff>
          <xdr:row>23</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11</xdr:row>
          <xdr:rowOff>0</xdr:rowOff>
        </xdr:from>
        <xdr:to>
          <xdr:col>2</xdr:col>
          <xdr:colOff>895350</xdr:colOff>
          <xdr:row>12</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12</xdr:row>
          <xdr:rowOff>0</xdr:rowOff>
        </xdr:from>
        <xdr:to>
          <xdr:col>2</xdr:col>
          <xdr:colOff>895350</xdr:colOff>
          <xdr:row>13</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22</xdr:row>
          <xdr:rowOff>161925</xdr:rowOff>
        </xdr:from>
        <xdr:to>
          <xdr:col>3</xdr:col>
          <xdr:colOff>895350</xdr:colOff>
          <xdr:row>24</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27</xdr:row>
          <xdr:rowOff>0</xdr:rowOff>
        </xdr:from>
        <xdr:to>
          <xdr:col>3</xdr:col>
          <xdr:colOff>0</xdr:colOff>
          <xdr:row>28</xdr:row>
          <xdr:rowOff>9525</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0</xdr:rowOff>
        </xdr:from>
        <xdr:to>
          <xdr:col>3</xdr:col>
          <xdr:colOff>0</xdr:colOff>
          <xdr:row>29</xdr:row>
          <xdr:rowOff>9525</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161925</xdr:rowOff>
        </xdr:from>
        <xdr:to>
          <xdr:col>3</xdr:col>
          <xdr:colOff>0</xdr:colOff>
          <xdr:row>30</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30</xdr:row>
          <xdr:rowOff>0</xdr:rowOff>
        </xdr:from>
        <xdr:to>
          <xdr:col>3</xdr:col>
          <xdr:colOff>0</xdr:colOff>
          <xdr:row>30</xdr:row>
          <xdr:rowOff>161925</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31</xdr:row>
          <xdr:rowOff>0</xdr:rowOff>
        </xdr:from>
        <xdr:to>
          <xdr:col>2</xdr:col>
          <xdr:colOff>895350</xdr:colOff>
          <xdr:row>32</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32</xdr:row>
          <xdr:rowOff>0</xdr:rowOff>
        </xdr:from>
        <xdr:to>
          <xdr:col>3</xdr:col>
          <xdr:colOff>0</xdr:colOff>
          <xdr:row>33</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12</xdr:row>
          <xdr:rowOff>161925</xdr:rowOff>
        </xdr:from>
        <xdr:to>
          <xdr:col>4</xdr:col>
          <xdr:colOff>0</xdr:colOff>
          <xdr:row>13</xdr:row>
          <xdr:rowOff>161925</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8</xdr:col>
      <xdr:colOff>609600</xdr:colOff>
      <xdr:row>21</xdr:row>
      <xdr:rowOff>38100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21</xdr:row>
      <xdr:rowOff>47625</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979170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397377</xdr:colOff>
      <xdr:row>49</xdr:row>
      <xdr:rowOff>132682</xdr:rowOff>
    </xdr:from>
    <xdr:to>
      <xdr:col>3</xdr:col>
      <xdr:colOff>583998</xdr:colOff>
      <xdr:row>56</xdr:row>
      <xdr:rowOff>50436</xdr:rowOff>
    </xdr:to>
    <xdr:grpSp>
      <xdr:nvGrpSpPr>
        <xdr:cNvPr id="4" name="Groupe 3">
          <a:extLst>
            <a:ext uri="{FF2B5EF4-FFF2-40B4-BE49-F238E27FC236}">
              <a16:creationId xmlns:a16="http://schemas.microsoft.com/office/drawing/2014/main" id="{00000000-0008-0000-0100-000004000000}"/>
            </a:ext>
          </a:extLst>
        </xdr:cNvPr>
        <xdr:cNvGrpSpPr/>
      </xdr:nvGrpSpPr>
      <xdr:grpSpPr>
        <a:xfrm>
          <a:off x="1616577" y="8076532"/>
          <a:ext cx="1043871" cy="1051229"/>
          <a:chOff x="1543718" y="8304129"/>
          <a:chExt cx="1082306" cy="1064096"/>
        </a:xfrm>
      </xdr:grpSpPr>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3718" y="8304129"/>
            <a:ext cx="1082306" cy="1064096"/>
          </a:xfrm>
          <a:prstGeom prst="ellipse">
            <a:avLst/>
          </a:prstGeom>
          <a:solidFill>
            <a:srgbClr val="F2F2F2"/>
          </a:solidFill>
          <a:ln w="9525">
            <a:solidFill>
              <a:srgbClr val="000000"/>
            </a:solidFill>
            <a:round/>
            <a:headEnd/>
            <a:tailEnd/>
          </a:ln>
        </xdr:spPr>
      </xdr:sp>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39718" y="8694827"/>
            <a:ext cx="290306" cy="282700"/>
          </a:xfrm>
          <a:prstGeom prst="ellipse">
            <a:avLst/>
          </a:prstGeom>
          <a:solidFill>
            <a:srgbClr val="FFFFFF"/>
          </a:solidFill>
          <a:ln w="9525">
            <a:solidFill>
              <a:srgbClr val="000000"/>
            </a:solidFill>
            <a:round/>
            <a:headEnd/>
            <a:tailEnd/>
          </a:ln>
        </xdr:spPr>
      </xdr:sp>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3718" y="8304129"/>
            <a:ext cx="0" cy="540000"/>
          </a:xfrm>
          <a:prstGeom prst="line">
            <a:avLst/>
          </a:prstGeom>
          <a:noFill/>
          <a:ln w="9525">
            <a:solidFill>
              <a:srgbClr val="000000"/>
            </a:solidFill>
            <a:round/>
            <a:headEnd type="triangle" w="med" len="med"/>
            <a:tailEnd type="triangle" w="med" len="med"/>
          </a:ln>
        </xdr:spPr>
      </xdr:sp>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a:off x="2083718" y="8838866"/>
            <a:ext cx="0" cy="144000"/>
          </a:xfrm>
          <a:prstGeom prst="line">
            <a:avLst/>
          </a:prstGeom>
          <a:noFill/>
          <a:ln w="9525">
            <a:solidFill>
              <a:srgbClr val="000000"/>
            </a:solidFill>
            <a:round/>
            <a:headEnd type="triangle" w="sm" len="sm"/>
            <a:tailEnd type="triangle" w="sm" len="sm"/>
          </a:ln>
        </xdr:spPr>
      </xdr:sp>
    </xdr:grpSp>
    <xdr:clientData/>
  </xdr:twoCellAnchor>
  <mc:AlternateContent xmlns:mc="http://schemas.openxmlformats.org/markup-compatibility/2006">
    <mc:Choice xmlns:a14="http://schemas.microsoft.com/office/drawing/2010/main" Requires="a14">
      <xdr:twoCellAnchor>
        <xdr:from>
          <xdr:col>3</xdr:col>
          <xdr:colOff>647700</xdr:colOff>
          <xdr:row>9</xdr:row>
          <xdr:rowOff>161925</xdr:rowOff>
        </xdr:from>
        <xdr:to>
          <xdr:col>4</xdr:col>
          <xdr:colOff>0</xdr:colOff>
          <xdr:row>11</xdr:row>
          <xdr:rowOff>9525</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43</xdr:row>
          <xdr:rowOff>9525</xdr:rowOff>
        </xdr:from>
        <xdr:to>
          <xdr:col>2</xdr:col>
          <xdr:colOff>0</xdr:colOff>
          <xdr:row>44</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45</xdr:row>
          <xdr:rowOff>9525</xdr:rowOff>
        </xdr:from>
        <xdr:to>
          <xdr:col>2</xdr:col>
          <xdr:colOff>0</xdr:colOff>
          <xdr:row>46</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51</xdr:row>
          <xdr:rowOff>9525</xdr:rowOff>
        </xdr:from>
        <xdr:to>
          <xdr:col>2</xdr:col>
          <xdr:colOff>0</xdr:colOff>
          <xdr:row>52</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94</xdr:row>
          <xdr:rowOff>76200</xdr:rowOff>
        </xdr:from>
        <xdr:to>
          <xdr:col>3</xdr:col>
          <xdr:colOff>762000</xdr:colOff>
          <xdr:row>100</xdr:row>
          <xdr:rowOff>95250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53</xdr:row>
          <xdr:rowOff>9525</xdr:rowOff>
        </xdr:from>
        <xdr:to>
          <xdr:col>2</xdr:col>
          <xdr:colOff>0</xdr:colOff>
          <xdr:row>54</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xdr:col>
      <xdr:colOff>111065</xdr:colOff>
      <xdr:row>40</xdr:row>
      <xdr:rowOff>120650</xdr:rowOff>
    </xdr:from>
    <xdr:to>
      <xdr:col>3</xdr:col>
      <xdr:colOff>723899</xdr:colOff>
      <xdr:row>47</xdr:row>
      <xdr:rowOff>163763</xdr:rowOff>
    </xdr:to>
    <xdr:grpSp>
      <xdr:nvGrpSpPr>
        <xdr:cNvPr id="5" name="Groupe 4">
          <a:extLst>
            <a:ext uri="{FF2B5EF4-FFF2-40B4-BE49-F238E27FC236}">
              <a16:creationId xmlns:a16="http://schemas.microsoft.com/office/drawing/2014/main" id="{00000000-0008-0000-0100-000005000000}"/>
            </a:ext>
          </a:extLst>
        </xdr:cNvPr>
        <xdr:cNvGrpSpPr/>
      </xdr:nvGrpSpPr>
      <xdr:grpSpPr>
        <a:xfrm>
          <a:off x="1330265" y="6607175"/>
          <a:ext cx="1470084" cy="1176588"/>
          <a:chOff x="1206570" y="6604334"/>
          <a:chExt cx="1696381" cy="1189455"/>
        </a:xfrm>
      </xdr:grpSpPr>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23067" y="6604334"/>
            <a:ext cx="1479884" cy="1189455"/>
            <a:chOff x="1362074" y="6410325"/>
            <a:chExt cx="1319467"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81627" y="7305580"/>
              <a:ext cx="34276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8688"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16200000">
              <a:off x="1842199" y="6398837"/>
              <a:ext cx="474608"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9552" y="6759733"/>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20389" y="6759733"/>
              <a:ext cx="0" cy="482283"/>
            </a:xfrm>
            <a:prstGeom prst="line">
              <a:avLst/>
            </a:prstGeom>
            <a:noFill/>
            <a:ln w="9525">
              <a:solidFill>
                <a:srgbClr val="000000"/>
              </a:solidFill>
              <a:round/>
              <a:headEnd/>
              <a:tailEnd/>
            </a:ln>
          </xdr:spPr>
          <xdr:txBody>
            <a:bodyPr/>
            <a:lstStyle/>
            <a:p>
              <a:endParaRPr lang="fr-FR"/>
            </a:p>
          </xdr:txBody>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4" y="6762863"/>
              <a:ext cx="0" cy="476023"/>
            </a:xfrm>
            <a:prstGeom prst="line">
              <a:avLst/>
            </a:prstGeom>
            <a:noFill/>
            <a:ln w="9525">
              <a:solidFill>
                <a:srgbClr val="000000"/>
              </a:solidFill>
              <a:round/>
              <a:headEnd type="triangle" w="med" len="med"/>
              <a:tailEnd type="triangle" w="med" len="med"/>
            </a:ln>
          </xdr:spPr>
        </xdr:sp>
      </xdr:grpSp>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206570" y="7066782"/>
            <a:ext cx="2522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a</a:t>
            </a:r>
          </a:p>
        </xdr:txBody>
      </xdr:sp>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607218" y="7462419"/>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b</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9525</xdr:colOff>
          <xdr:row>1010</xdr:row>
          <xdr:rowOff>104775</xdr:rowOff>
        </xdr:from>
        <xdr:to>
          <xdr:col>20</xdr:col>
          <xdr:colOff>295275</xdr:colOff>
          <xdr:row>1013</xdr:row>
          <xdr:rowOff>28575</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1024</xdr:row>
          <xdr:rowOff>161925</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1006</xdr:row>
          <xdr:rowOff>28575</xdr:rowOff>
        </xdr:from>
        <xdr:to>
          <xdr:col>24</xdr:col>
          <xdr:colOff>152400</xdr:colOff>
          <xdr:row>1007</xdr:row>
          <xdr:rowOff>104775</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1017</xdr:row>
          <xdr:rowOff>161925</xdr:rowOff>
        </xdr:from>
        <xdr:to>
          <xdr:col>10</xdr:col>
          <xdr:colOff>581025</xdr:colOff>
          <xdr:row>1019</xdr:row>
          <xdr:rowOff>142875</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1014</xdr:row>
          <xdr:rowOff>180975</xdr:rowOff>
        </xdr:from>
        <xdr:to>
          <xdr:col>11</xdr:col>
          <xdr:colOff>266700</xdr:colOff>
          <xdr:row>1016</xdr:row>
          <xdr:rowOff>66675</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1016</xdr:row>
          <xdr:rowOff>76200</xdr:rowOff>
        </xdr:from>
        <xdr:to>
          <xdr:col>11</xdr:col>
          <xdr:colOff>238125</xdr:colOff>
          <xdr:row>1017</xdr:row>
          <xdr:rowOff>161925</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66675</xdr:rowOff>
        </xdr:from>
        <xdr:to>
          <xdr:col>17</xdr:col>
          <xdr:colOff>276225</xdr:colOff>
          <xdr:row>1024</xdr:row>
          <xdr:rowOff>161925</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238125</xdr:colOff>
          <xdr:row>1010</xdr:row>
          <xdr:rowOff>85725</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104775</xdr:rowOff>
        </xdr:from>
        <xdr:to>
          <xdr:col>12</xdr:col>
          <xdr:colOff>238125</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1006</xdr:row>
          <xdr:rowOff>104775</xdr:rowOff>
        </xdr:from>
        <xdr:to>
          <xdr:col>3</xdr:col>
          <xdr:colOff>542925</xdr:colOff>
          <xdr:row>1007</xdr:row>
          <xdr:rowOff>180975</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180975</xdr:rowOff>
        </xdr:from>
        <xdr:to>
          <xdr:col>16</xdr:col>
          <xdr:colOff>0</xdr:colOff>
          <xdr:row>1026</xdr:row>
          <xdr:rowOff>142875</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1013</xdr:row>
          <xdr:rowOff>28575</xdr:rowOff>
        </xdr:from>
        <xdr:to>
          <xdr:col>21</xdr:col>
          <xdr:colOff>28575</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1005</xdr:row>
          <xdr:rowOff>9525</xdr:rowOff>
        </xdr:from>
        <xdr:to>
          <xdr:col>10</xdr:col>
          <xdr:colOff>409575</xdr:colOff>
          <xdr:row>1006</xdr:row>
          <xdr:rowOff>85725</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9525</xdr:rowOff>
        </xdr:from>
        <xdr:to>
          <xdr:col>8</xdr:col>
          <xdr:colOff>190500</xdr:colOff>
          <xdr:row>1014</xdr:row>
          <xdr:rowOff>161925</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1018</xdr:row>
          <xdr:rowOff>47625</xdr:rowOff>
        </xdr:from>
        <xdr:to>
          <xdr:col>24</xdr:col>
          <xdr:colOff>1076325</xdr:colOff>
          <xdr:row>1019</xdr:row>
          <xdr:rowOff>142875</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142875</xdr:rowOff>
        </xdr:from>
        <xdr:to>
          <xdr:col>20</xdr:col>
          <xdr:colOff>581025</xdr:colOff>
          <xdr:row>1022</xdr:row>
          <xdr:rowOff>47625</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47625</xdr:rowOff>
        </xdr:from>
        <xdr:to>
          <xdr:col>19</xdr:col>
          <xdr:colOff>180975</xdr:colOff>
          <xdr:row>1019</xdr:row>
          <xdr:rowOff>142875</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1007</xdr:row>
          <xdr:rowOff>123825</xdr:rowOff>
        </xdr:from>
        <xdr:to>
          <xdr:col>37</xdr:col>
          <xdr:colOff>276225</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1010</xdr:row>
          <xdr:rowOff>85725</xdr:rowOff>
        </xdr:from>
        <xdr:to>
          <xdr:col>35</xdr:col>
          <xdr:colOff>723900</xdr:colOff>
          <xdr:row>1013</xdr:row>
          <xdr:rowOff>47625</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28575</xdr:rowOff>
        </xdr:from>
        <xdr:to>
          <xdr:col>11</xdr:col>
          <xdr:colOff>561975</xdr:colOff>
          <xdr:row>1038</xdr:row>
          <xdr:rowOff>28575</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28575</xdr:rowOff>
        </xdr:from>
        <xdr:to>
          <xdr:col>12</xdr:col>
          <xdr:colOff>28575</xdr:colOff>
          <xdr:row>1043</xdr:row>
          <xdr:rowOff>28575</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1014</xdr:row>
          <xdr:rowOff>123825</xdr:rowOff>
        </xdr:from>
        <xdr:to>
          <xdr:col>20</xdr:col>
          <xdr:colOff>333375</xdr:colOff>
          <xdr:row>1016</xdr:row>
          <xdr:rowOff>9525</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1007</xdr:row>
          <xdr:rowOff>114300</xdr:rowOff>
        </xdr:from>
        <xdr:to>
          <xdr:col>32</xdr:col>
          <xdr:colOff>161925</xdr:colOff>
          <xdr:row>1010</xdr:row>
          <xdr:rowOff>85725</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28575</xdr:rowOff>
        </xdr:from>
        <xdr:to>
          <xdr:col>12</xdr:col>
          <xdr:colOff>333375</xdr:colOff>
          <xdr:row>1058</xdr:row>
          <xdr:rowOff>47625</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28575</xdr:rowOff>
        </xdr:from>
        <xdr:to>
          <xdr:col>15</xdr:col>
          <xdr:colOff>47625</xdr:colOff>
          <xdr:row>1063</xdr:row>
          <xdr:rowOff>47625</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28575</xdr:rowOff>
        </xdr:from>
        <xdr:to>
          <xdr:col>16</xdr:col>
          <xdr:colOff>676275</xdr:colOff>
          <xdr:row>1068</xdr:row>
          <xdr:rowOff>47625</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28575</xdr:rowOff>
        </xdr:from>
        <xdr:to>
          <xdr:col>16</xdr:col>
          <xdr:colOff>104775</xdr:colOff>
          <xdr:row>1048</xdr:row>
          <xdr:rowOff>28575</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28575</xdr:rowOff>
        </xdr:from>
        <xdr:to>
          <xdr:col>16</xdr:col>
          <xdr:colOff>390525</xdr:colOff>
          <xdr:row>1053</xdr:row>
          <xdr:rowOff>47625</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28575</xdr:rowOff>
        </xdr:from>
        <xdr:to>
          <xdr:col>12</xdr:col>
          <xdr:colOff>409575</xdr:colOff>
          <xdr:row>1073</xdr:row>
          <xdr:rowOff>47625</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28575</xdr:rowOff>
        </xdr:from>
        <xdr:to>
          <xdr:col>32</xdr:col>
          <xdr:colOff>419100</xdr:colOff>
          <xdr:row>1056</xdr:row>
          <xdr:rowOff>28575</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1022</xdr:row>
          <xdr:rowOff>47625</xdr:rowOff>
        </xdr:from>
        <xdr:to>
          <xdr:col>32</xdr:col>
          <xdr:colOff>266700</xdr:colOff>
          <xdr:row>1024</xdr:row>
          <xdr:rowOff>142875</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28575</xdr:rowOff>
        </xdr:from>
        <xdr:to>
          <xdr:col>36</xdr:col>
          <xdr:colOff>161925</xdr:colOff>
          <xdr:row>1020</xdr:row>
          <xdr:rowOff>28575</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695325</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47625</xdr:rowOff>
        </xdr:from>
        <xdr:to>
          <xdr:col>35</xdr:col>
          <xdr:colOff>142875</xdr:colOff>
          <xdr:row>1023</xdr:row>
          <xdr:rowOff>47625</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66675</xdr:rowOff>
        </xdr:from>
        <xdr:to>
          <xdr:col>36</xdr:col>
          <xdr:colOff>47625</xdr:colOff>
          <xdr:row>1026</xdr:row>
          <xdr:rowOff>66675</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28575</xdr:rowOff>
        </xdr:from>
        <xdr:to>
          <xdr:col>34</xdr:col>
          <xdr:colOff>352425</xdr:colOff>
          <xdr:row>1051</xdr:row>
          <xdr:rowOff>85725</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18</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18</xdr:row>
      <xdr:rowOff>25400</xdr:rowOff>
    </xdr:from>
    <xdr:to>
      <xdr:col>12</xdr:col>
      <xdr:colOff>450850</xdr:colOff>
      <xdr:row>36</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18</xdr:row>
      <xdr:rowOff>25400</xdr:rowOff>
    </xdr:from>
    <xdr:to>
      <xdr:col>6</xdr:col>
      <xdr:colOff>450850</xdr:colOff>
      <xdr:row>36</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657225</xdr:colOff>
          <xdr:row>9</xdr:row>
          <xdr:rowOff>200025</xdr:rowOff>
        </xdr:from>
        <xdr:to>
          <xdr:col>4</xdr:col>
          <xdr:colOff>0</xdr:colOff>
          <xdr:row>11</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70</xdr:row>
          <xdr:rowOff>28575</xdr:rowOff>
        </xdr:from>
        <xdr:to>
          <xdr:col>12</xdr:col>
          <xdr:colOff>904875</xdr:colOff>
          <xdr:row>87</xdr:row>
          <xdr:rowOff>9525</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0</xdr:rowOff>
        </xdr:from>
        <xdr:to>
          <xdr:col>4</xdr:col>
          <xdr:colOff>0</xdr:colOff>
          <xdr:row>12</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20320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55</xdr:row>
      <xdr:rowOff>44450</xdr:rowOff>
    </xdr:from>
    <xdr:to>
      <xdr:col>10</xdr:col>
      <xdr:colOff>609600</xdr:colOff>
      <xdr:row>83</xdr:row>
      <xdr:rowOff>17780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980440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137025" y="13214350"/>
          <a:ext cx="2159000" cy="375285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2995275" y="184150"/>
          <a:ext cx="2082800" cy="5127625"/>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tabSelected="1" zoomScale="115" zoomScaleNormal="115" zoomScaleSheetLayoutView="100" workbookViewId="0">
      <selection activeCell="F36" sqref="F36"/>
    </sheetView>
  </sheetViews>
  <sheetFormatPr baseColWidth="10" defaultColWidth="11.42578125" defaultRowHeight="12.75" x14ac:dyDescent="0.2"/>
  <cols>
    <col min="1" max="1" width="2.140625" style="24" customWidth="1"/>
    <col min="2" max="2" width="16.140625" style="24" customWidth="1"/>
    <col min="3" max="3" width="12.85546875" style="31" customWidth="1"/>
    <col min="4" max="4" width="12.85546875" style="24" customWidth="1"/>
    <col min="5" max="5" width="4.140625" style="89" customWidth="1"/>
    <col min="6" max="6" width="10.140625" style="26" bestFit="1" customWidth="1"/>
    <col min="7" max="7" width="10" style="26" bestFit="1" customWidth="1"/>
    <col min="8" max="9" width="8.5703125" style="26" customWidth="1"/>
    <col min="10" max="10" width="5.42578125" style="24" customWidth="1"/>
    <col min="11" max="11" width="2.140625" style="24" customWidth="1"/>
    <col min="12" max="12" width="17" style="24" customWidth="1"/>
    <col min="13" max="13" width="8.5703125" style="24" customWidth="1"/>
    <col min="14" max="15" width="4.140625" style="24" customWidth="1"/>
    <col min="16" max="16" width="8.5703125" style="24" customWidth="1"/>
    <col min="17" max="18" width="2.140625" style="24" customWidth="1"/>
    <col min="19" max="16384" width="11.42578125" style="24"/>
  </cols>
  <sheetData>
    <row r="1" spans="1:20" ht="12.75" customHeight="1" x14ac:dyDescent="0.2">
      <c r="A1" s="19"/>
      <c r="B1" s="20"/>
      <c r="C1" s="21"/>
      <c r="D1" s="20"/>
      <c r="E1" s="88"/>
      <c r="F1" s="22"/>
      <c r="G1" s="22"/>
      <c r="H1" s="22"/>
      <c r="I1" s="22"/>
      <c r="J1" s="20"/>
      <c r="K1" s="20"/>
      <c r="L1" s="20"/>
      <c r="M1" s="20"/>
      <c r="N1" s="20"/>
      <c r="O1" s="20"/>
      <c r="P1" s="20"/>
      <c r="Q1" s="23"/>
    </row>
    <row r="2" spans="1:20" ht="12.75" customHeight="1" x14ac:dyDescent="0.2">
      <c r="A2" s="25"/>
      <c r="C2" s="558" t="s">
        <v>53</v>
      </c>
      <c r="D2" s="558"/>
      <c r="L2" s="147" t="str">
        <f>"Language/Langue"</f>
        <v>Language/Langue</v>
      </c>
      <c r="M2" s="583" t="s">
        <v>1</v>
      </c>
      <c r="N2" s="583"/>
      <c r="O2" s="583"/>
      <c r="P2" s="584"/>
      <c r="Q2" s="27"/>
    </row>
    <row r="3" spans="1:20" ht="12.75" customHeight="1" x14ac:dyDescent="0.2">
      <c r="A3" s="25"/>
      <c r="C3" s="558"/>
      <c r="D3" s="558"/>
      <c r="L3" s="591"/>
      <c r="M3" s="591"/>
      <c r="N3" s="45"/>
      <c r="Q3" s="27"/>
    </row>
    <row r="4" spans="1:20" ht="12.75" customHeight="1" x14ac:dyDescent="0.2">
      <c r="A4" s="25"/>
      <c r="C4" s="559" t="str">
        <f>IF(Lang="Français","Stabilité de fusée à ailerons",IF(Lang="English","Stability for rocket with fins",""))</f>
        <v>Stabilité de fusée à ailerons</v>
      </c>
      <c r="D4" s="559"/>
      <c r="L4" s="33"/>
      <c r="M4" s="583" t="s">
        <v>571</v>
      </c>
      <c r="N4" s="583"/>
      <c r="O4" s="583"/>
      <c r="P4" s="584"/>
      <c r="Q4" s="27"/>
    </row>
    <row r="5" spans="1:20" ht="12.75" customHeight="1" x14ac:dyDescent="0.25">
      <c r="A5" s="25"/>
      <c r="B5" s="28"/>
      <c r="C5" s="540"/>
      <c r="D5" s="540"/>
      <c r="L5" s="33"/>
      <c r="M5" s="565" t="s">
        <v>156</v>
      </c>
      <c r="N5" s="566"/>
      <c r="O5" s="594" t="s">
        <v>157</v>
      </c>
      <c r="P5" s="594"/>
      <c r="Q5" s="29"/>
    </row>
    <row r="6" spans="1:20" ht="12.75" customHeight="1" thickBot="1" x14ac:dyDescent="0.25">
      <c r="A6" s="25"/>
      <c r="B6" s="87"/>
      <c r="C6" s="553" t="str">
        <f>IF(Lang="Français","Remplir les cases jaunes",IF(Lang="English","Fill-in yellow cells only",""))</f>
        <v>Remplir les cases jaunes</v>
      </c>
      <c r="D6" s="553"/>
      <c r="L6" s="139" t="str">
        <f>IF(Lang="Français","Longueur      'L'",IF(Lang="English","Length      'L'",""))</f>
        <v>Longueur      'L'</v>
      </c>
      <c r="M6" s="554">
        <v>60</v>
      </c>
      <c r="N6" s="555"/>
      <c r="O6" s="575">
        <v>40</v>
      </c>
      <c r="P6" s="575"/>
      <c r="Q6" s="29"/>
    </row>
    <row r="7" spans="1:20" ht="12.75" customHeight="1" thickTop="1" thickBot="1" x14ac:dyDescent="0.25">
      <c r="A7" s="25"/>
      <c r="B7" s="31"/>
      <c r="C7" s="561" t="str">
        <f>IF(Lang="Français","Fusée",IF(Lang="English","Rocket",""))</f>
        <v>Fusée</v>
      </c>
      <c r="D7" s="562"/>
      <c r="L7" s="139" t="str">
        <f>IF(Lang="Français","Diamètre     'D1'",IF(Lang="English","Diameter 'D1'",""))</f>
        <v>Diamètre     'D1'</v>
      </c>
      <c r="M7" s="554">
        <v>84</v>
      </c>
      <c r="N7" s="555"/>
      <c r="O7" s="575">
        <v>104</v>
      </c>
      <c r="P7" s="575"/>
      <c r="Q7" s="29"/>
    </row>
    <row r="8" spans="1:20" ht="12.75" customHeight="1" thickTop="1" x14ac:dyDescent="0.2">
      <c r="A8" s="25"/>
      <c r="B8" s="138" t="str">
        <f>IF(Lang="Français","Nom",IF(Lang="English","Name",""))</f>
        <v>Nom</v>
      </c>
      <c r="C8" s="556" t="s">
        <v>572</v>
      </c>
      <c r="D8" s="556"/>
      <c r="E8" s="90"/>
      <c r="K8" s="33"/>
      <c r="L8" s="139" t="str">
        <f>IF(Lang="Français","Diamètre     'D2'",IF(Lang="English","Diameter 'D2'",""))</f>
        <v>Diamètre     'D2'</v>
      </c>
      <c r="M8" s="554">
        <v>104</v>
      </c>
      <c r="N8" s="555"/>
      <c r="O8" s="575">
        <v>84</v>
      </c>
      <c r="P8" s="575"/>
      <c r="Q8" s="29"/>
    </row>
    <row r="9" spans="1:20" ht="12.75" customHeight="1" x14ac:dyDescent="0.2">
      <c r="A9" s="25"/>
      <c r="B9" s="138" t="s">
        <v>4</v>
      </c>
      <c r="C9" s="557" t="s">
        <v>569</v>
      </c>
      <c r="D9" s="557"/>
      <c r="E9" s="90"/>
      <c r="K9" s="33"/>
      <c r="L9" s="139" t="str">
        <f>IF(Lang="Français","Implantation 'x'",IF(Lang="English","Basement 'x'",""))</f>
        <v>Implantation 'x'</v>
      </c>
      <c r="M9" s="554">
        <v>942</v>
      </c>
      <c r="N9" s="555"/>
      <c r="O9" s="575">
        <v>2002</v>
      </c>
      <c r="P9" s="575"/>
      <c r="Q9" s="29"/>
    </row>
    <row r="10" spans="1:20" ht="12.75" customHeight="1" x14ac:dyDescent="0.2">
      <c r="A10" s="25"/>
      <c r="B10" s="138" t="s">
        <v>563</v>
      </c>
      <c r="C10" s="537" t="str">
        <f>IF((LEFT(Type_fusee,4)="Mini"),"MF",(IF((RIGHT(Type_fusee,1)="."),"FX","")))</f>
        <v>FX</v>
      </c>
      <c r="D10" s="538">
        <v>0</v>
      </c>
      <c r="E10" s="539" t="str">
        <f>IF(C10="","",C10&amp;D10)</f>
        <v>FX0</v>
      </c>
      <c r="K10" s="33"/>
      <c r="Q10" s="29"/>
    </row>
    <row r="11" spans="1:20" ht="12.75" customHeight="1" x14ac:dyDescent="0.2">
      <c r="A11" s="25"/>
      <c r="B11" s="139" t="s">
        <v>54</v>
      </c>
      <c r="C11" s="563" t="s">
        <v>568</v>
      </c>
      <c r="D11" s="564"/>
      <c r="E11" s="90"/>
      <c r="K11" s="33"/>
      <c r="L11" s="107"/>
      <c r="M11" s="224" t="str">
        <f>IF(Lang="Français","Propu plein",IF(Lang="English","Loaded Motor",""))</f>
        <v>Propu plein</v>
      </c>
      <c r="N11" s="592" t="str">
        <f>IF(Lang="Français","Propu vide",IF(Lang="English","Empty Motor",""))</f>
        <v>Propu vide</v>
      </c>
      <c r="O11" s="593"/>
      <c r="P11" s="224" t="str">
        <f>IF(Lang="Français","Sans propu",IF(Lang="English","Without M",""))</f>
        <v>Sans propu</v>
      </c>
      <c r="Q11" s="29"/>
      <c r="S11" s="385"/>
      <c r="T11" s="386" t="str">
        <f>IF(Lang="Français","Propulseur",IF(Lang="English","Motor",""))</f>
        <v>Propulseur</v>
      </c>
    </row>
    <row r="12" spans="1:20" ht="12.75" customHeight="1" x14ac:dyDescent="0.2">
      <c r="A12" s="25"/>
      <c r="B12" s="139" t="str">
        <f>IF(Lang="Français","Masse",IF(Lang="English","Weight",""))</f>
        <v>Masse</v>
      </c>
      <c r="C12" s="222">
        <v>7327</v>
      </c>
      <c r="D12" s="34" t="s">
        <v>423</v>
      </c>
      <c r="L12" s="108" t="str">
        <f>IF(Lang="Français","Masse propu",IF(Lang="English","Motor Mass",""))</f>
        <v>Masse propu</v>
      </c>
      <c r="M12" s="109">
        <f ca="1">MpropuPlein</f>
        <v>1.6319999999999999</v>
      </c>
      <c r="N12" s="587">
        <f ca="1">MpropuVide</f>
        <v>0.65</v>
      </c>
      <c r="O12" s="588"/>
      <c r="P12" s="110" t="s">
        <v>14</v>
      </c>
      <c r="Q12" s="29"/>
      <c r="S12" s="386" t="str">
        <f>IF(Lang="Français","Haut",IF(Lang="English","Top",""))</f>
        <v>Haut</v>
      </c>
      <c r="T12" s="387">
        <f ca="1">XpropuRef-Long_propu</f>
        <v>1564</v>
      </c>
    </row>
    <row r="13" spans="1:20" ht="12.75" customHeight="1" x14ac:dyDescent="0.2">
      <c r="A13" s="25"/>
      <c r="B13" s="139" t="str">
        <f>IF(Lang="Français","Centre de Masse",IF(Lang="English","Center of Mass",""))</f>
        <v>Centre de Masse</v>
      </c>
      <c r="C13" s="35">
        <v>1040</v>
      </c>
      <c r="D13" s="34" t="s">
        <v>423</v>
      </c>
      <c r="L13" s="108" t="str">
        <f>IF(Lang="Français","CdM propu",IF(Lang="English","Motor CoM",""))</f>
        <v>CdM propu</v>
      </c>
      <c r="M13" s="111">
        <f ca="1">XpropuPlein</f>
        <v>250</v>
      </c>
      <c r="N13" s="585">
        <f ca="1">XpropuVide</f>
        <v>240</v>
      </c>
      <c r="O13" s="586"/>
      <c r="P13" s="110" t="s">
        <v>14</v>
      </c>
      <c r="Q13" s="29"/>
      <c r="S13" s="386" t="str">
        <f>IF(Lang="Français","Longueur",IF(Lang="English","Length",""))</f>
        <v>Longueur</v>
      </c>
      <c r="T13" s="387">
        <f ca="1">Long_propu</f>
        <v>488</v>
      </c>
    </row>
    <row r="14" spans="1:20" ht="12.6" customHeight="1" x14ac:dyDescent="0.2">
      <c r="A14" s="25"/>
      <c r="B14" s="139" t="str">
        <f>IF(Lang="Français","Longueur totale",IF(Lang="English","Total length",""))</f>
        <v>Longueur totale</v>
      </c>
      <c r="C14" s="554">
        <v>2052</v>
      </c>
      <c r="D14" s="555"/>
      <c r="L14" s="108" t="str">
        <f>IF(Lang="Français","Masse fusée",IF(Lang="English","Rocket Mass",""))</f>
        <v>Masse fusée</v>
      </c>
      <c r="M14" s="112">
        <f ca="1">MasseSans+MpropuPlein</f>
        <v>8.9589999999999996</v>
      </c>
      <c r="N14" s="567">
        <f ca="1">MasseSans+MpropuVide</f>
        <v>7.9770000000000003</v>
      </c>
      <c r="O14" s="568"/>
      <c r="P14" s="109">
        <f>IF(OR(D12="sans propu",D12="without motor"),C12/1000,IF(OR(D12="avec propu vide",D12="with empty motor"),C12/1000-MpropuVide,IF(OR(D12="avec propu plein",D12="with loaded motor"),C12/1000-MpropuPlein,"Erreur")))</f>
        <v>7.327</v>
      </c>
      <c r="Q14" s="29"/>
      <c r="S14" s="386" t="str">
        <f>IF(Lang="Français","Bas",IF(Lang="English","Base",""))</f>
        <v>Bas</v>
      </c>
      <c r="T14" s="387">
        <f>XpropuRef</f>
        <v>2052</v>
      </c>
    </row>
    <row r="15" spans="1:20" ht="12.75" customHeight="1" x14ac:dyDescent="0.2">
      <c r="A15" s="25"/>
      <c r="B15" s="139" t="str">
        <f>IF(Lang="Français","Diamètre Réf.",IF(Lang="English","Ref. Diameter",""))</f>
        <v>Diamètre Réf.</v>
      </c>
      <c r="C15" s="554">
        <f>((3/4)*104+(1/4)*84)</f>
        <v>99</v>
      </c>
      <c r="D15" s="555"/>
      <c r="L15" s="175" t="str">
        <f>IF(Lang="Français","CdM fusée",IF(Lang="English","Rocket CoM",""))</f>
        <v>CdM fusée</v>
      </c>
      <c r="M15" s="176">
        <f ca="1">(XcgSans*MasseSans+(XpropuRef-Long_propu+XpropuPlein)*MpropuPlein)/MassePlein</f>
        <v>1180.9943074003795</v>
      </c>
      <c r="N15" s="569">
        <f ca="1">(XcgSans*MasseSans+(XpropuRef-Long_propu+XpropuVide)*MpropuVide)/MasseVide</f>
        <v>1102.253980193055</v>
      </c>
      <c r="O15" s="570"/>
      <c r="P15" s="113">
        <f>IF(OR(D13="sans propu",D13="without motor"),C13,IF(OR(D13="avec propu vide",D13="with empty motor"),(C13*MasseVide-(XpropuRef-Long_propu+XpropuVide)*MpropuVide)/MasseSans,IF(OR(D13="avec propu plein",D13="with loaded motor"),(C13*MassePlein-(XpropuRef-Long_propu+XpropuPlein)*MpropuPlein)/MasseSans,"Erreur")))</f>
        <v>1040</v>
      </c>
      <c r="Q15" s="29"/>
    </row>
    <row r="16" spans="1:20" ht="12.75" customHeight="1" thickBot="1" x14ac:dyDescent="0.25">
      <c r="A16" s="25"/>
      <c r="D16" s="31"/>
      <c r="L16" s="94"/>
      <c r="M16" s="94"/>
      <c r="N16" s="94"/>
      <c r="O16" s="94"/>
      <c r="P16" s="94"/>
      <c r="Q16" s="29"/>
      <c r="S16" s="385"/>
      <c r="T16" s="386" t="str">
        <f>IF(RIGHT(Type_masquage,1)=",",IF(Lang="Français","Ailerons","Fins"),IF(Lang="Français","Ailerons bas","Lower Fins"))</f>
        <v>Ailerons bas</v>
      </c>
    </row>
    <row r="17" spans="1:22" ht="12.75" customHeight="1" thickTop="1" thickBot="1" x14ac:dyDescent="0.25">
      <c r="A17" s="25"/>
      <c r="C17" s="542" t="str">
        <f>IF(Lang="Français","Propulseur",IF(Lang="English","Motor",""))</f>
        <v>Propulseur</v>
      </c>
      <c r="D17" s="543"/>
      <c r="L17" s="114"/>
      <c r="M17" s="571" t="s">
        <v>55</v>
      </c>
      <c r="N17" s="572"/>
      <c r="O17" s="595" t="s">
        <v>65</v>
      </c>
      <c r="P17" s="595"/>
      <c r="Q17" s="29"/>
      <c r="S17" s="386" t="str">
        <f>IF(Lang="Français","Haut","Top")</f>
        <v>Haut</v>
      </c>
      <c r="T17" s="387">
        <f>X_ail-m_ail</f>
        <v>1782</v>
      </c>
    </row>
    <row r="18" spans="1:22" ht="12.75" customHeight="1" thickTop="1" x14ac:dyDescent="0.2">
      <c r="A18" s="25"/>
      <c r="B18" s="139" t="s">
        <v>54</v>
      </c>
      <c r="C18" s="544" t="s">
        <v>552</v>
      </c>
      <c r="D18" s="545"/>
      <c r="K18" s="37"/>
      <c r="L18" s="108" t="str">
        <f>IF(Lang="Français","Coiffe",IF(Lang="English","Nose Cone",""))</f>
        <v>Coiffe</v>
      </c>
      <c r="M18" s="547">
        <f>IF(LEFT(Forme_ogive,5)="Parab",1/2*Long_ogive,IF(LEFT(Forme_ogive,4)="Ogiv",7/15*Long_ogive,IF(LEFT(Forme_ogive,3)="Con",2/3*Long_ogive)))</f>
        <v>168</v>
      </c>
      <c r="N18" s="548"/>
      <c r="O18" s="546">
        <f>2*POWER(D_og/D_ref, 2)</f>
        <v>1.4398530762167128</v>
      </c>
      <c r="P18" s="546"/>
      <c r="Q18" s="29"/>
      <c r="S18" s="386" t="str">
        <f>IF(Lang="Français","Emplanture","Root edge")</f>
        <v>Emplanture</v>
      </c>
      <c r="T18" s="387">
        <f>m_ail</f>
        <v>190</v>
      </c>
    </row>
    <row r="19" spans="1:22" ht="12.75" customHeight="1" x14ac:dyDescent="0.2">
      <c r="A19" s="25"/>
      <c r="B19" s="139" t="str">
        <f>IF(Lang="Français","Position du bas",IF(Lang="English","Basement",""))</f>
        <v>Position du bas</v>
      </c>
      <c r="C19" s="575">
        <v>2052</v>
      </c>
      <c r="D19" s="575"/>
      <c r="L19" s="108" t="str">
        <f>IF(Lang="Français","Ailerons",IF(Lang="English","Fins",""))</f>
        <v>Ailerons</v>
      </c>
      <c r="M19" s="547">
        <f>(XCpa*Cnail-0.5*XCpi*Cni)/Cnai</f>
        <v>1902.9040247264793</v>
      </c>
      <c r="N19" s="548"/>
      <c r="O19" s="549">
        <f>Cnail-Cni/2</f>
        <v>11.362966962910459</v>
      </c>
      <c r="P19" s="550"/>
      <c r="Q19" s="29"/>
      <c r="S19" s="386" t="str">
        <f>IF(Lang="Français","Bas","Base")</f>
        <v>Bas</v>
      </c>
      <c r="T19" s="387">
        <f>X_ail</f>
        <v>1972</v>
      </c>
    </row>
    <row r="20" spans="1:22" ht="12.75" customHeight="1" thickBot="1" x14ac:dyDescent="0.25">
      <c r="A20" s="25"/>
      <c r="B20" s="428" t="str">
        <f>IF(Propu="Cariacou","Cariacou :"," ")</f>
        <v xml:space="preserve"> </v>
      </c>
      <c r="C20" s="576" t="str">
        <f>IF(Propu="Pandora (Pro24-6G)",IF(Lang="Français","C'Space Seulement",IF(Lang="English","C'Space only","")),"")</f>
        <v/>
      </c>
      <c r="D20" s="576"/>
      <c r="L20" s="108" t="str">
        <f>IF(Lang="Français","Ail bas entier",IF(Lang="English","Total Lower Fins",""))</f>
        <v>Ail bas entier</v>
      </c>
      <c r="M20" s="547">
        <f>X_ail-m_ail+p_ail*(m_ail+2*n_ail)/(3*(m_ail+n_ail))+(m_ail+n_ail-m_ail*n_ail/(m_ail+n_ail))/6</f>
        <v>1895.3950617283951</v>
      </c>
      <c r="N20" s="548"/>
      <c r="O20" s="546">
        <f>4*Q_ail*POWER((E_ail/D_ref),2)*(1+D_ail/(2*E_ail+D_ail))/(1+SQRT(1+POWER(2*f_ail/(m_ail+n_ail),2)))</f>
        <v>15.86087415886348</v>
      </c>
      <c r="P20" s="546"/>
      <c r="Q20" s="29"/>
    </row>
    <row r="21" spans="1:22" ht="12.75" customHeight="1" thickTop="1" thickBot="1" x14ac:dyDescent="0.25">
      <c r="A21" s="25"/>
      <c r="B21" s="30"/>
      <c r="C21" s="551" t="str">
        <f>IF(Lang="Français","Coiffe",IF(Lang="English","Nose Cone",""))</f>
        <v>Coiffe</v>
      </c>
      <c r="D21" s="552"/>
      <c r="L21" s="108" t="str">
        <f>IF(Lang="Français","Ailerons haut",IF(Lang="English","Upper Fins",""))</f>
        <v>Ailerons haut</v>
      </c>
      <c r="M21" s="547">
        <f>IF(LEFT(Type_masquage,1)="M",0, X_can-m_can+p_can*(m_can+2*n_can)/(3*(m_can+n_can))+(m_can+n_can-m_can*n_can/(m_can+n_can))/6)</f>
        <v>857.4</v>
      </c>
      <c r="N21" s="548"/>
      <c r="O21" s="546">
        <f>IF(LEFT(Type_masquage,1)="M",0, 4*Q_can*POWER((E_can/D_ref),2)*(1+D_can/(2*E_can+D_can))/(1+SQRT(1+POWER(2*f_can/(m_can+n_can),2))))</f>
        <v>9.7925567175680541</v>
      </c>
      <c r="P21" s="546"/>
      <c r="Q21" s="29"/>
    </row>
    <row r="22" spans="1:22" ht="12.75" customHeight="1" thickTop="1" x14ac:dyDescent="0.2">
      <c r="A22" s="25"/>
      <c r="B22" s="139" t="str">
        <f>IF(Lang="Français","Forme",IF(Lang="English","Shape",""))</f>
        <v>Forme</v>
      </c>
      <c r="C22" s="577" t="s">
        <v>570</v>
      </c>
      <c r="D22" s="578"/>
      <c r="L22" s="108" t="str">
        <f>IF(Lang="Français","Partie masquée",IF(Lang="English","Interation zone",""))</f>
        <v>Partie masquée</v>
      </c>
      <c r="M22" s="560">
        <f>IF(LEFT(Type_masquage,1)="B", X_int-m_int+p_int*(m_int+2*n_int)/(3*(m_int+n_int))+(m_int+n_int-m_int*n_int/(m_int+n_int))/6, 0 )</f>
        <v>1876.4253287490849</v>
      </c>
      <c r="N22" s="560"/>
      <c r="O22" s="549">
        <f>IF(LEFT(Type_masquage,1)="B", 4*Q_int*POWER((E_int/D_ref),2)*(1+D_int/(2*E_int+D_int))/(1+SQRT(1+POWER(2*f_int/(m_int+n_int),2))), 0 )</f>
        <v>8.9958143919060412</v>
      </c>
      <c r="P22" s="550"/>
      <c r="Q22" s="29"/>
    </row>
    <row r="23" spans="1:22" ht="12.75" customHeight="1" x14ac:dyDescent="0.2">
      <c r="A23" s="25"/>
      <c r="B23" s="139" t="str">
        <f>IF(Lang="Français","Hauteur",IF(Lang="English","Heigth",""))</f>
        <v>Hauteur</v>
      </c>
      <c r="C23" s="554">
        <v>252</v>
      </c>
      <c r="D23" s="555"/>
      <c r="L23" s="108" t="s">
        <v>156</v>
      </c>
      <c r="M23" s="547">
        <f>IF(OR(RIGHT(Nb_diam,1)=",",D2j=0),0, X_j+l_j/3*(1+1/(1+D1j/D2j)) )</f>
        <v>973.063829787234</v>
      </c>
      <c r="N23" s="548"/>
      <c r="O23" s="546">
        <f>IF(OR(RIGHT(Nb_diam,1)=",",D2j=0),0,2*(POWER(D2j/D_ref,2)-POWER(D1j/D_ref,2)))</f>
        <v>0.76726864605652523</v>
      </c>
      <c r="P23" s="546"/>
      <c r="Q23" s="29"/>
    </row>
    <row r="24" spans="1:22" ht="12.75" customHeight="1" thickBot="1" x14ac:dyDescent="0.25">
      <c r="A24" s="25"/>
      <c r="B24" s="139" t="str">
        <f>IF(Lang="Français","Diamètre",IF(Lang="English","Diameter",""))</f>
        <v>Diamètre</v>
      </c>
      <c r="C24" s="554">
        <v>84</v>
      </c>
      <c r="D24" s="555"/>
      <c r="L24" s="108" t="s">
        <v>157</v>
      </c>
      <c r="M24" s="547">
        <f>IF( OR(RIGHT(Nb_diam,1)=",",D2r=0), 0, X_r+l_r/3*(1+1/(1+D1r/D2r)) )</f>
        <v>2021.2907801418439</v>
      </c>
      <c r="N24" s="548"/>
      <c r="O24" s="546">
        <f>IF( OR(RIGHT(Nb_diam,1)=",",D2r=0), 0, 2*(POWER(D2r/D_ref,2)-POWER(D1r/D_ref,2)) )</f>
        <v>-0.76726864605652523</v>
      </c>
      <c r="P24" s="546"/>
      <c r="Q24" s="29"/>
    </row>
    <row r="25" spans="1:22" ht="12.75" customHeight="1" thickBot="1" x14ac:dyDescent="0.25">
      <c r="A25" s="25"/>
      <c r="E25" s="180" t="s">
        <v>151</v>
      </c>
      <c r="L25" s="38"/>
      <c r="M25" s="38"/>
      <c r="N25" s="38"/>
      <c r="Q25" s="29"/>
      <c r="R25" s="38"/>
      <c r="S25" s="388" t="str">
        <f ca="1">IF(AND(Portee_balistique&gt;200,LEFT(Type_propu,3)="Min"),IF(Lang="Français","Fusée trop lègère !","Rocket too light"),"")</f>
        <v/>
      </c>
    </row>
    <row r="26" spans="1:22" ht="12.75" customHeight="1" thickTop="1" thickBot="1" x14ac:dyDescent="0.25">
      <c r="A26" s="25"/>
      <c r="B26" s="30"/>
      <c r="C26" s="178" t="str">
        <f>IF(LEFT(Type_masquage,1)="M",IF(Lang="Français","Ailerons","Fins"),IF(Lang="Français","Ailerons bas","Lower Fins"))</f>
        <v>Ailerons bas</v>
      </c>
      <c r="D26" s="179" t="str">
        <f>IF(Lang="Français","Ailerons haut",IF(Lang="English","Upper Fins",""))</f>
        <v>Ailerons haut</v>
      </c>
      <c r="F26" s="39">
        <f ca="1">TODAY()</f>
        <v>45957</v>
      </c>
      <c r="G26" s="137" t="s">
        <v>62</v>
      </c>
      <c r="H26" s="541" t="str">
        <f>IF(Lang="Français","Résultats",IF(Lang="English","Results",""))</f>
        <v>Résultats</v>
      </c>
      <c r="I26" s="541"/>
      <c r="J26" s="137" t="s">
        <v>63</v>
      </c>
      <c r="K26" s="32"/>
      <c r="L26" s="38"/>
      <c r="M26" s="38"/>
      <c r="N26" s="38"/>
      <c r="Q26" s="29"/>
      <c r="R26" s="38"/>
      <c r="S26" s="388" t="str">
        <f ca="1">IF(AND(Vsortie_de_rampe&lt;18, OR(LEFT(Type_fusee,1)=",",LEFT(Type_fusee,4)="Mini",LEFT(Type_fusee,1)="R")),IF(Lang="Français","Fusée trop lourde ou rampe trop courte !","Rocket too heavy or launch pad too small!"),"")</f>
        <v/>
      </c>
    </row>
    <row r="27" spans="1:22" ht="12.75" customHeight="1" thickTop="1" x14ac:dyDescent="0.2">
      <c r="A27" s="25"/>
      <c r="B27" s="30"/>
      <c r="C27" s="573" t="s">
        <v>425</v>
      </c>
      <c r="D27" s="574"/>
      <c r="E27" s="146">
        <f>m_ail</f>
        <v>190</v>
      </c>
      <c r="F27" s="105" t="s">
        <v>64</v>
      </c>
      <c r="G27" s="104">
        <f>IF(RIGHT(Type_fusee,1)=".",10, IF(OR(LEFT(Type_fusee,1)="R",LEFT(Type_fusee,1)=",",LEFT(Type_fusee,4)="Mini"),10, IF(LEFT(Type_fusee,5)="Micro",10, IF(RIGHT(Type_fusee,1)=" ",1))))</f>
        <v>10</v>
      </c>
      <c r="H27" s="589">
        <f>Long_tot/D_ref</f>
        <v>20.727272727272727</v>
      </c>
      <c r="I27" s="590"/>
      <c r="J27" s="104">
        <f>IF(RIGHT(Type_fusee,1)=".",35, IF(OR(LEFT(Type_fusee,1)="R",LEFT(Type_fusee,1)=",",LEFT(Type_fusee,4)="Mini"),20, IF(LEFT(Type_fusee,5)="Micro",30, IF(RIGHT(Type_fusee,1)=" ",100))))</f>
        <v>35</v>
      </c>
      <c r="K27" s="32"/>
      <c r="L27" s="38"/>
      <c r="M27" s="38"/>
      <c r="N27" s="38"/>
      <c r="Q27" s="29"/>
      <c r="R27" s="38"/>
      <c r="S27" s="388" t="str">
        <f>IF(Finesse&lt;CritFinessemin, IF(Lang="Français","Fusée trop courte !","Rocket too short!"), "" ) &amp; IF(Finesse&gt;CritFinessemax, IF(Lang="Français","Fusée trop longue !","Rocket too long!"), "" )</f>
        <v/>
      </c>
    </row>
    <row r="28" spans="1:22" ht="12.75" customHeight="1" x14ac:dyDescent="0.2">
      <c r="A28" s="25"/>
      <c r="B28" s="524" t="str">
        <f>IF(Lang="Français"," Emplanture  'm'",IF(Lang="English"," Root edge  'm'",""))</f>
        <v xml:space="preserve"> Emplanture  'm'</v>
      </c>
      <c r="C28" s="177">
        <v>190</v>
      </c>
      <c r="D28" s="177">
        <v>170</v>
      </c>
      <c r="E28" s="146">
        <f>n_ail+(m_ail-n_ail)*(1-E_int/E_ail)</f>
        <v>116.41379310344828</v>
      </c>
      <c r="F28" s="105" t="str">
        <f>IF(Lang="Français","Portance","Lift")</f>
        <v>Portance</v>
      </c>
      <c r="G28" s="104">
        <f>IF(RIGHT(Type_fusee,1)=".",15,IF(OR(LEFT(Type_fusee,1)="R",LEFT(Type_fusee,1)=",",LEFT(Type_fusee,4)="Mini"),15, IF(LEFT(Type_fusee,5)="Micro",15, IF(RIGHT(Type_fusee,1)=" ",15))))</f>
        <v>15</v>
      </c>
      <c r="H28" s="508">
        <f>Cnai+Cnc+Cno+Cnj+Cnr</f>
        <v>22.595376756695227</v>
      </c>
      <c r="I28" s="508">
        <f>Cnail+Cnc+Cno+Cnj+Cnr</f>
        <v>27.09328395264825</v>
      </c>
      <c r="J28" s="104">
        <f>IF(RIGHT(Type_fusee,1)=".",40, IF(OR(LEFT(Type_fusee,1)="R",LEFT(Type_fusee,1)=",",LEFT(Type_fusee,4)="Mini"),30, IF(LEFT(Type_fusee,5)="Micro",30, IF(RIGHT(Type_fusee,1)=" ",30))))</f>
        <v>40</v>
      </c>
      <c r="K28" s="32"/>
      <c r="L28" s="38"/>
      <c r="M28" s="38"/>
      <c r="N28" s="38"/>
      <c r="Q28" s="29"/>
      <c r="R28" s="38"/>
      <c r="S28" s="388" t="str">
        <f>IF(Cn&lt;CritCnmin, IF(Lang="Français","Ailerons trop petits !","Fins too small!"), "" ) &amp; IF(Cn&gt;CritCnmax, IF(Lang="Français","Ailerons trop grands !","Fins too big!"), "" )</f>
        <v/>
      </c>
    </row>
    <row r="29" spans="1:22" ht="12.75" customHeight="1" x14ac:dyDescent="0.2">
      <c r="A29" s="25"/>
      <c r="B29" s="524" t="str">
        <f>IF(Lang="Français"," Saumon       'n'",IF(Lang="English"," Tip edge    'n'",""))</f>
        <v xml:space="preserve"> Saumon       'n'</v>
      </c>
      <c r="C29" s="35">
        <v>80</v>
      </c>
      <c r="D29" s="35">
        <v>80</v>
      </c>
      <c r="E29" s="146">
        <f>p_ail*E_int/E_ail</f>
        <v>120.41379310344827</v>
      </c>
      <c r="F29" s="515" t="str">
        <f>IF(Lang="Français","MargeStat.","StatMargin")</f>
        <v>MargeStat.</v>
      </c>
      <c r="G29" s="510">
        <f>IF(RIGHT(Type_fusee,1)=".",2, IF(OR(LEFT(Type_fusee,1)="R",LEFT(Type_fusee,1)=",",LEFT(Type_fusee,4)="Mini"),1.5, IF(LEFT(Type_fusee,5)="Micro",1, IF(RIGHT(Type_fusee,1)=" ",1))))</f>
        <v>2</v>
      </c>
      <c r="H29" s="97">
        <f ca="1">(XCp-XcgPlein)/D_ref</f>
        <v>1.2007738955330385</v>
      </c>
      <c r="I29" s="98">
        <f ca="1">(XCp0-XcgVide)/D_ref</f>
        <v>2.9947800704380572</v>
      </c>
      <c r="J29" s="510">
        <f>IF(RIGHT(Type_fusee,1)=".",6, IF(OR(LEFT(Type_fusee,1)="R",LEFT(Type_fusee,1)=",",LEFT(Type_fusee,4)="Mini"),6, IF(LEFT(Type_fusee,5)="Micro",3, IF(RIGHT(Type_fusee,1)=" ",3))))</f>
        <v>6</v>
      </c>
      <c r="K29" s="32"/>
      <c r="Q29" s="29"/>
      <c r="R29" s="38"/>
      <c r="S29" s="388" t="str">
        <f ca="1">IF(MS_min&lt;CritMsmin, IF(Lang="Français","Abaisser les ailerons ou rehausser le CdM !","Lower the fins or move up the center of mass!"), "" ) &amp; IF(MS_max&gt;CritMsmax, IF(Lang="Français","Rehausser les ailerons ou abaisser le CdM !","Move up the fins or lower the center of mass!"), "" )</f>
        <v>Abaisser les ailerons ou rehausser le CdM !</v>
      </c>
      <c r="U29" s="24" t="s">
        <v>573</v>
      </c>
    </row>
    <row r="30" spans="1:22" ht="12.75" customHeight="1" x14ac:dyDescent="0.2">
      <c r="A30" s="25"/>
      <c r="B30" s="524" t="str">
        <f>IF(Lang="Français"," Flèche          'p'"," Offset         'p'")</f>
        <v xml:space="preserve"> Flèche          'p'</v>
      </c>
      <c r="C30" s="35">
        <v>180</v>
      </c>
      <c r="D30" s="35">
        <v>120</v>
      </c>
      <c r="E30" s="146">
        <f>IF(D_can/2+E_can&lt;=D_ail/2,0, IF(D_can/2+E_can&gt;=D_ail/2+E_ail,E_ail,  D_can/2+E_can - D_ail/2  ) )</f>
        <v>97</v>
      </c>
      <c r="F30" s="516" t="str">
        <f>IF(Lang="Français","Couple","Torque")</f>
        <v>Couple</v>
      </c>
      <c r="G30" s="511">
        <f>IF(RIGHT(Type_fusee,1)=".",40, IF(OR(LEFT(Type_fusee,1)="R",LEFT(Type_fusee,1)=",",LEFT(Type_fusee,4)="Mini"),30, IF(LEFT(Type_fusee,5)="Micro",15, IF(RIGHT(Type_fusee,1)=" ",15))))</f>
        <v>40</v>
      </c>
      <c r="H30" s="99">
        <f ca="1">MS_min*Cn</f>
        <v>27.131938569173602</v>
      </c>
      <c r="I30" s="96">
        <f ca="1">MS_max*Cn0</f>
        <v>81.138426824110212</v>
      </c>
      <c r="J30" s="511">
        <f>IF(RIGHT(Type_fusee,1)=".",100, IF(OR(LEFT(Type_fusee,1)="R",LEFT(Type_fusee,1)=",",LEFT(Type_fusee,4)="Mini"),100, IF(LEFT(Type_fusee,5)="Micro",100, IF(RIGHT(Type_fusee,1)=" ",90))))</f>
        <v>100</v>
      </c>
      <c r="K30" s="32"/>
      <c r="Q30" s="29"/>
      <c r="R30" s="38"/>
      <c r="S30" s="388" t="str">
        <f ca="1">IF(MS_Cn_min&lt;CritMsCnmin, IF(Lang="Français","Ailerons trop petits ou trop haut /CdM !","Fins too small or too high /CoM!"), "" ) &amp; IF(MS_Cn_max&gt;CritMsCnmax, IF(Lang="Français","Ailerons trop grands ou trop bas  /CdM !","Fins too big or too low / CoM!"), "" )</f>
        <v>Ailerons trop petits ou trop haut /CdM !</v>
      </c>
      <c r="U30" s="24" t="s">
        <v>574</v>
      </c>
      <c r="V30" s="24" t="s">
        <v>575</v>
      </c>
    </row>
    <row r="31" spans="1:22" ht="12.75" customHeight="1" x14ac:dyDescent="0.2">
      <c r="A31" s="25"/>
      <c r="B31" s="524" t="str">
        <f>IF(Lang="Français"," Envergure     'E'",IF(Lang="English"," Span          'E'",""))</f>
        <v xml:space="preserve"> Envergure     'E'</v>
      </c>
      <c r="C31" s="35">
        <v>145</v>
      </c>
      <c r="D31" s="35">
        <v>107</v>
      </c>
      <c r="E31" s="146">
        <f>ep_ail</f>
        <v>3</v>
      </c>
      <c r="F31" s="106" t="s">
        <v>55</v>
      </c>
      <c r="G31" s="103"/>
      <c r="H31" s="509">
        <f>(Cnai*XCpa+Cnc*XCpc+Cnj*XCpj+Cnr*XCpr+Cno*XCpo)/(Cnai+Cnc+Cnr+Cnj+Cno)</f>
        <v>1299.8709230581503</v>
      </c>
      <c r="I31" s="509">
        <f>(Cnail*XCpa+Cnc*XCpc+Cnj*XCpj+Cnr*XCpr+Cno*XCpo)/(Cnail+Cnc+Cnr+Cnj+Cno)</f>
        <v>1398.7372071664226</v>
      </c>
      <c r="J31" s="102"/>
      <c r="K31" s="32"/>
      <c r="Q31" s="29"/>
      <c r="R31" s="38"/>
      <c r="S31" s="388"/>
      <c r="U31" s="24">
        <v>2.12</v>
      </c>
      <c r="V31" s="24">
        <v>24.960999999999999</v>
      </c>
    </row>
    <row r="32" spans="1:22" ht="12.75" customHeight="1" x14ac:dyDescent="0.2">
      <c r="A32" s="25"/>
      <c r="B32" s="525" t="str">
        <f>IF(Lang="Français"," Epaisseur     'ep'",IF(Lang="English"," Thickness  'ep'",""))</f>
        <v xml:space="preserve"> Epaisseur     'ep'</v>
      </c>
      <c r="C32" s="35">
        <v>3</v>
      </c>
      <c r="D32" s="35">
        <v>3</v>
      </c>
      <c r="E32" s="146">
        <f>IF(Q_ail=Q_can,Q_ail,FALSE)</f>
        <v>4</v>
      </c>
      <c r="F32" s="106" t="s">
        <v>66</v>
      </c>
      <c r="G32" s="103"/>
      <c r="H32" s="100">
        <f ca="1">(XCp-XcgPlein)/Long_tot*100</f>
        <v>5.7932073907295711</v>
      </c>
      <c r="I32" s="101">
        <f ca="1">(XCp-XcgVide)/Long_tot*100</f>
        <v>9.630455305316536</v>
      </c>
      <c r="J32" s="102"/>
      <c r="K32" s="32"/>
      <c r="Q32" s="29"/>
      <c r="R32" s="38"/>
      <c r="U32" s="24">
        <v>2.9</v>
      </c>
      <c r="V32" s="24">
        <v>24.960999999999999</v>
      </c>
    </row>
    <row r="33" spans="1:23" ht="12.75" customHeight="1" x14ac:dyDescent="0.2">
      <c r="A33" s="25"/>
      <c r="B33" s="524" t="str">
        <f>IF(Lang="Français"," Nombre            ",IF(Lang="English"," Number of fins",""))</f>
        <v xml:space="preserve"> Nombre            </v>
      </c>
      <c r="C33" s="36">
        <v>4</v>
      </c>
      <c r="D33" s="36">
        <v>4</v>
      </c>
      <c r="E33" s="146">
        <f>X_ail</f>
        <v>1972</v>
      </c>
      <c r="G33" s="24"/>
      <c r="H33" s="579" t="str">
        <f ca="1">IF(AND(CritCnmin&lt;Cn,Cn0&lt;CritCnmax,CritMsmin&lt;MS_min,MS_max&lt;CritMsmax,CritMsCnmin&lt;MS_Cn_min,MS_Cn_max&lt;CritMsCnmax),"STABLE",IF(OR(Cn&lt;CritCnmin,MS_min&lt;CritMsmin,MS_Cn_min&lt;CritMsCnmin),"INSTABLE",IF(Lang="Français","SURSTABLE","OVERSTABLE")))</f>
        <v>INSTABLE</v>
      </c>
      <c r="I33" s="580"/>
      <c r="J33" s="31"/>
      <c r="K33" s="32"/>
      <c r="Q33" s="29"/>
      <c r="R33" s="38"/>
    </row>
    <row r="34" spans="1:23" ht="12.75" customHeight="1" x14ac:dyDescent="0.2">
      <c r="A34" s="25"/>
      <c r="B34" s="524" t="str">
        <f>IF(Lang="Français"," Position du bas",IF(Lang="English"," Basement",""))</f>
        <v xml:space="preserve"> Position du bas</v>
      </c>
      <c r="C34" s="35">
        <v>1972</v>
      </c>
      <c r="D34" s="35">
        <v>942</v>
      </c>
      <c r="E34" s="146">
        <f>D_ail</f>
        <v>104</v>
      </c>
      <c r="G34" s="24"/>
      <c r="H34" s="581"/>
      <c r="I34" s="582"/>
      <c r="K34" s="32"/>
      <c r="Q34" s="29"/>
      <c r="R34" s="38"/>
    </row>
    <row r="35" spans="1:23" ht="12.75" customHeight="1" x14ac:dyDescent="0.2">
      <c r="A35" s="25"/>
      <c r="B35" s="524" t="str">
        <f>IF(Lang="Français"," Diamètre         ",IF(Lang="English"," Diameter at Fins",""))</f>
        <v xml:space="preserve"> Diamètre         </v>
      </c>
      <c r="C35" s="35">
        <v>104</v>
      </c>
      <c r="D35" s="35">
        <v>84</v>
      </c>
      <c r="E35" s="146">
        <f>SQRT(POWER(p_int+n_int/2-m_int/2,2)+POWER(E_int,2))</f>
        <v>128.06802777589206</v>
      </c>
      <c r="K35" s="32"/>
      <c r="Q35" s="29"/>
      <c r="R35" s="38"/>
      <c r="W35" s="24" t="str">
        <f>RIGHT(Type_fusee,1="R")</f>
        <v/>
      </c>
    </row>
    <row r="36" spans="1:23" ht="12.75" customHeight="1" x14ac:dyDescent="0.2">
      <c r="A36" s="25"/>
      <c r="B36" s="524" t="str">
        <f>IF(Lang="Français"," Ligne mi-corde f",IF(Lang="English"," Mid-chord line f",""))</f>
        <v xml:space="preserve"> Ligne mi-corde f</v>
      </c>
      <c r="C36" s="145">
        <f>SQRT(POWER(p_ail+n_ail/2-m_ail/2,2)+POWER(E_ail,2))</f>
        <v>191.44189719076647</v>
      </c>
      <c r="D36" s="145">
        <f>SQRT(POWER(p_can+n_can/2-m_can/2,2)+POWER(E_can,2))</f>
        <v>130.66751700403586</v>
      </c>
      <c r="E36" s="536"/>
      <c r="K36" s="32"/>
      <c r="Q36" s="29"/>
      <c r="R36" s="38"/>
    </row>
    <row r="37" spans="1:23" ht="12.75" customHeight="1" thickBot="1" x14ac:dyDescent="0.25">
      <c r="A37" s="40"/>
      <c r="B37" s="182" t="str">
        <f>IF(Lang="Français","Commentaire libre :",IF(Lang="English","Free comment:",""))</f>
        <v>Commentaire libre :</v>
      </c>
      <c r="C37" s="41"/>
      <c r="D37" s="42"/>
      <c r="E37" s="91"/>
      <c r="F37" s="67"/>
      <c r="G37" s="67"/>
      <c r="H37" s="67"/>
      <c r="I37" s="67"/>
      <c r="J37" s="42"/>
      <c r="K37" s="42"/>
      <c r="L37" s="389" t="s">
        <v>270</v>
      </c>
      <c r="M37" s="392" t="str">
        <f>IF(ROUND(SUM(Propu!5:1228),0)=437735,"propu OK","propu NOK")</f>
        <v>propu OK</v>
      </c>
      <c r="N37" s="391" t="str">
        <f>IF(Lang="Français","fichier initial","Initial file")</f>
        <v>fichier initial</v>
      </c>
      <c r="O37" s="392"/>
      <c r="P37" s="390"/>
      <c r="Q37" s="291" t="s">
        <v>567</v>
      </c>
      <c r="R37" s="43"/>
    </row>
    <row r="39" spans="1:23" x14ac:dyDescent="0.2">
      <c r="L39" s="226" t="str">
        <f>IF(Lang="Français","Maintenant que votre fusée est stable, vérifiez sa trajectoire via la feuille","Now your rocket is stable, check its trajectory on sheet")</f>
        <v>Maintenant que votre fusée est stable, vérifiez sa trajectoire via la feuille</v>
      </c>
      <c r="M39" s="481" t="s">
        <v>180</v>
      </c>
    </row>
    <row r="40" spans="1:23" x14ac:dyDescent="0.2">
      <c r="H40" s="87"/>
      <c r="O40" s="26"/>
      <c r="P40" s="26"/>
      <c r="S40" s="506"/>
    </row>
    <row r="41" spans="1:23" x14ac:dyDescent="0.2">
      <c r="F41" s="24"/>
      <c r="H41" s="43"/>
      <c r="I41" s="44"/>
      <c r="J41" s="43"/>
      <c r="N41" s="43"/>
      <c r="Q41" s="43"/>
      <c r="R41" s="43"/>
    </row>
    <row r="42" spans="1:23" x14ac:dyDescent="0.2">
      <c r="F42" s="24"/>
      <c r="G42" s="503"/>
      <c r="H42" s="504"/>
      <c r="I42" s="44"/>
      <c r="J42" s="43"/>
      <c r="N42" s="43"/>
      <c r="Q42" s="43"/>
      <c r="R42" s="43"/>
    </row>
    <row r="43" spans="1:23" x14ac:dyDescent="0.2">
      <c r="F43" s="24"/>
      <c r="H43" s="43"/>
      <c r="I43" s="44"/>
      <c r="J43" s="43"/>
      <c r="N43" s="43"/>
      <c r="Q43" s="43"/>
      <c r="R43" s="43"/>
    </row>
    <row r="44" spans="1:23" x14ac:dyDescent="0.2">
      <c r="F44" s="24"/>
      <c r="H44" s="43"/>
      <c r="I44" s="44"/>
      <c r="J44" s="43"/>
      <c r="N44" s="43"/>
      <c r="Q44" s="43"/>
      <c r="R44" s="43"/>
    </row>
    <row r="45" spans="1:23" x14ac:dyDescent="0.2">
      <c r="F45" s="24"/>
      <c r="H45" s="43"/>
      <c r="I45" s="44"/>
      <c r="J45" s="43"/>
      <c r="N45" s="43"/>
      <c r="Q45" s="43"/>
      <c r="R45" s="43"/>
    </row>
    <row r="46" spans="1:23" x14ac:dyDescent="0.2">
      <c r="F46" s="24"/>
      <c r="H46" s="43"/>
      <c r="I46" s="44"/>
      <c r="J46" s="43"/>
      <c r="N46" s="43"/>
      <c r="Q46" s="43"/>
      <c r="R46" s="43"/>
    </row>
    <row r="47" spans="1:23" x14ac:dyDescent="0.2">
      <c r="F47" s="24"/>
      <c r="H47" s="43"/>
      <c r="I47" s="44"/>
      <c r="J47" s="43"/>
      <c r="L47" s="43"/>
      <c r="M47" s="43"/>
      <c r="N47" s="43"/>
      <c r="Q47" s="43"/>
      <c r="R47" s="43"/>
    </row>
    <row r="48" spans="1:23" x14ac:dyDescent="0.2">
      <c r="F48" s="24"/>
      <c r="H48" s="43"/>
      <c r="I48" s="44"/>
      <c r="J48" s="43"/>
      <c r="L48" s="43"/>
      <c r="M48" s="43"/>
      <c r="N48" s="43"/>
      <c r="Q48" s="43"/>
      <c r="R48" s="43"/>
    </row>
    <row r="49" spans="2:18" x14ac:dyDescent="0.2">
      <c r="F49" s="24"/>
      <c r="H49" s="43"/>
      <c r="I49" s="44"/>
      <c r="J49" s="43"/>
      <c r="L49" s="43"/>
      <c r="M49" s="43"/>
      <c r="N49" s="43"/>
      <c r="Q49" s="43"/>
      <c r="R49" s="43"/>
    </row>
    <row r="50" spans="2:18" x14ac:dyDescent="0.2">
      <c r="F50" s="24"/>
      <c r="H50" s="43"/>
      <c r="I50" s="44"/>
      <c r="J50" s="43"/>
      <c r="L50" s="43"/>
      <c r="M50" s="43"/>
      <c r="N50" s="43"/>
      <c r="Q50" s="43"/>
      <c r="R50" s="43"/>
    </row>
    <row r="51" spans="2:18" x14ac:dyDescent="0.2">
      <c r="F51" s="24"/>
      <c r="H51" s="43"/>
      <c r="I51" s="44"/>
      <c r="J51" s="43"/>
      <c r="L51" s="43"/>
      <c r="M51" s="43"/>
      <c r="N51" s="43"/>
      <c r="Q51" s="43"/>
      <c r="R51" s="43"/>
    </row>
    <row r="52" spans="2:18" x14ac:dyDescent="0.2">
      <c r="F52" s="24"/>
      <c r="H52" s="43"/>
      <c r="I52" s="44"/>
      <c r="J52" s="43"/>
      <c r="L52" s="43"/>
      <c r="M52" s="43"/>
      <c r="N52" s="43"/>
      <c r="Q52" s="43"/>
      <c r="R52" s="43"/>
    </row>
    <row r="53" spans="2:18" x14ac:dyDescent="0.2">
      <c r="H53" s="43"/>
      <c r="I53" s="44"/>
      <c r="J53" s="43"/>
      <c r="L53" s="43"/>
      <c r="M53" s="43"/>
      <c r="N53" s="43"/>
      <c r="Q53" s="43"/>
      <c r="R53" s="43"/>
    </row>
    <row r="54" spans="2:18" x14ac:dyDescent="0.2">
      <c r="H54" s="43"/>
      <c r="I54" s="44"/>
      <c r="J54" s="43"/>
      <c r="L54" s="43"/>
      <c r="M54" s="43"/>
      <c r="N54" s="43"/>
      <c r="Q54" s="43"/>
      <c r="R54" s="43"/>
    </row>
    <row r="55" spans="2:18" x14ac:dyDescent="0.2">
      <c r="H55" s="43"/>
      <c r="I55" s="44"/>
      <c r="J55" s="43"/>
      <c r="L55" s="43"/>
      <c r="M55" s="43"/>
      <c r="N55" s="43"/>
      <c r="Q55" s="43"/>
      <c r="R55" s="43"/>
    </row>
    <row r="56" spans="2:18" x14ac:dyDescent="0.2">
      <c r="H56" s="43"/>
      <c r="I56" s="44"/>
      <c r="J56" s="43"/>
      <c r="L56" s="43"/>
      <c r="M56" s="43"/>
      <c r="N56" s="43"/>
      <c r="Q56" s="43"/>
      <c r="R56" s="43"/>
    </row>
    <row r="57" spans="2:18" x14ac:dyDescent="0.2">
      <c r="C57" s="24"/>
      <c r="H57" s="43"/>
      <c r="I57" s="44"/>
      <c r="J57" s="43"/>
      <c r="L57" s="43"/>
      <c r="M57" s="43"/>
      <c r="N57" s="43"/>
      <c r="Q57" s="43"/>
      <c r="R57" s="43"/>
    </row>
    <row r="58" spans="2:18" x14ac:dyDescent="0.2">
      <c r="H58" s="43"/>
      <c r="I58" s="44"/>
      <c r="J58" s="43"/>
      <c r="L58" s="43"/>
      <c r="M58" s="43"/>
      <c r="N58" s="43"/>
      <c r="Q58" s="43"/>
      <c r="R58" s="43"/>
    </row>
    <row r="59" spans="2:18" x14ac:dyDescent="0.2">
      <c r="B59" s="31"/>
      <c r="H59" s="43"/>
      <c r="I59" s="44"/>
      <c r="J59" s="43"/>
      <c r="L59" s="43"/>
      <c r="M59" s="43"/>
      <c r="N59" s="43"/>
      <c r="Q59" s="43"/>
      <c r="R59" s="43"/>
    </row>
    <row r="60" spans="2:18" x14ac:dyDescent="0.2">
      <c r="B60" s="31"/>
      <c r="H60" s="43"/>
      <c r="I60" s="44"/>
      <c r="J60" s="43"/>
      <c r="L60" s="43"/>
      <c r="M60" s="43"/>
      <c r="N60" s="43"/>
      <c r="Q60" s="43"/>
      <c r="R60" s="43"/>
    </row>
    <row r="61" spans="2:18" x14ac:dyDescent="0.2">
      <c r="B61" s="31"/>
      <c r="H61" s="43"/>
      <c r="I61" s="44"/>
      <c r="J61" s="43"/>
      <c r="L61" s="43"/>
      <c r="M61" s="43"/>
      <c r="N61" s="43"/>
      <c r="Q61" s="43"/>
      <c r="R61" s="43"/>
    </row>
    <row r="62" spans="2:18" x14ac:dyDescent="0.2">
      <c r="B62" s="31"/>
      <c r="H62" s="43"/>
      <c r="I62" s="44"/>
      <c r="J62" s="43"/>
      <c r="L62" s="43"/>
      <c r="M62" s="43"/>
      <c r="N62" s="43"/>
      <c r="Q62" s="43"/>
      <c r="R62" s="43"/>
    </row>
    <row r="63" spans="2:18" x14ac:dyDescent="0.2">
      <c r="B63" s="31"/>
      <c r="H63" s="43"/>
      <c r="I63" s="44"/>
      <c r="J63" s="43"/>
      <c r="L63" s="43"/>
      <c r="M63" s="43"/>
      <c r="N63" s="43"/>
      <c r="Q63" s="43"/>
      <c r="R63" s="43"/>
    </row>
    <row r="64" spans="2:18" x14ac:dyDescent="0.2">
      <c r="B64" s="31"/>
      <c r="H64" s="43"/>
      <c r="I64" s="44"/>
      <c r="J64" s="43"/>
      <c r="L64" s="43"/>
      <c r="M64" s="43"/>
      <c r="N64" s="43"/>
      <c r="Q64" s="43"/>
      <c r="R64" s="43"/>
    </row>
    <row r="65" spans="2:18" x14ac:dyDescent="0.2">
      <c r="B65" s="31"/>
      <c r="H65" s="43"/>
      <c r="I65" s="44"/>
      <c r="J65" s="43"/>
      <c r="L65" s="43"/>
      <c r="M65" s="43"/>
      <c r="N65" s="43"/>
      <c r="Q65" s="43"/>
      <c r="R65" s="43"/>
    </row>
    <row r="66" spans="2:18" x14ac:dyDescent="0.2">
      <c r="B66" s="31"/>
      <c r="H66" s="43"/>
      <c r="I66" s="44"/>
      <c r="J66" s="43"/>
      <c r="L66" s="43"/>
      <c r="M66" s="43"/>
      <c r="N66" s="43"/>
      <c r="Q66" s="43"/>
      <c r="R66" s="43"/>
    </row>
    <row r="67" spans="2:18" x14ac:dyDescent="0.2">
      <c r="B67" s="31"/>
      <c r="H67" s="43"/>
      <c r="I67" s="44"/>
      <c r="J67" s="43"/>
      <c r="L67" s="43"/>
      <c r="M67" s="43"/>
      <c r="N67" s="43"/>
      <c r="Q67" s="43"/>
      <c r="R67" s="43"/>
    </row>
    <row r="68" spans="2:18" x14ac:dyDescent="0.2">
      <c r="C68" s="24"/>
      <c r="H68" s="43"/>
      <c r="I68" s="44"/>
      <c r="J68" s="43"/>
      <c r="L68" s="43"/>
      <c r="M68" s="43"/>
      <c r="N68" s="43"/>
      <c r="Q68" s="43"/>
      <c r="R68" s="43"/>
    </row>
    <row r="69" spans="2:18" x14ac:dyDescent="0.2">
      <c r="C69" s="24"/>
      <c r="H69" s="43"/>
      <c r="I69" s="44"/>
      <c r="J69" s="43"/>
      <c r="L69" s="43"/>
      <c r="M69" s="43"/>
      <c r="N69" s="43"/>
      <c r="Q69" s="43"/>
      <c r="R69" s="43"/>
    </row>
    <row r="70" spans="2:18" x14ac:dyDescent="0.2">
      <c r="C70" s="24"/>
      <c r="H70" s="43"/>
      <c r="I70" s="44"/>
      <c r="J70" s="43"/>
      <c r="L70" s="43"/>
      <c r="M70" s="43"/>
      <c r="N70" s="43"/>
      <c r="Q70" s="43"/>
      <c r="R70" s="43"/>
    </row>
    <row r="71" spans="2:18" x14ac:dyDescent="0.2">
      <c r="C71" s="24"/>
      <c r="H71" s="43"/>
      <c r="I71" s="44"/>
      <c r="J71" s="43"/>
      <c r="L71" s="43"/>
      <c r="M71" s="43"/>
      <c r="N71" s="43"/>
      <c r="Q71" s="43"/>
      <c r="R71" s="43"/>
    </row>
    <row r="72" spans="2:18" x14ac:dyDescent="0.2">
      <c r="C72" s="24"/>
      <c r="H72" s="43"/>
      <c r="I72" s="44"/>
      <c r="J72" s="43"/>
      <c r="L72" s="43"/>
      <c r="M72" s="43"/>
      <c r="N72" s="43"/>
      <c r="Q72" s="43"/>
      <c r="R72" s="43"/>
    </row>
    <row r="73" spans="2:18" x14ac:dyDescent="0.2">
      <c r="C73" s="24"/>
      <c r="H73" s="43"/>
      <c r="I73" s="44"/>
      <c r="J73" s="43"/>
      <c r="L73" s="43"/>
      <c r="M73" s="43"/>
      <c r="N73" s="43"/>
      <c r="Q73" s="43"/>
      <c r="R73" s="43"/>
    </row>
    <row r="74" spans="2:18" x14ac:dyDescent="0.2">
      <c r="C74" s="24"/>
      <c r="H74" s="43"/>
      <c r="I74" s="44"/>
      <c r="J74" s="43"/>
      <c r="L74" s="43"/>
      <c r="M74" s="43"/>
      <c r="N74" s="43"/>
      <c r="Q74" s="43"/>
      <c r="R74" s="43"/>
    </row>
    <row r="75" spans="2:18" x14ac:dyDescent="0.2">
      <c r="C75" s="24"/>
      <c r="H75" s="43"/>
      <c r="I75" s="44"/>
      <c r="J75" s="43"/>
      <c r="L75" s="43"/>
      <c r="M75" s="43"/>
      <c r="N75" s="43"/>
      <c r="Q75" s="43"/>
      <c r="R75" s="43"/>
    </row>
    <row r="76" spans="2:18" x14ac:dyDescent="0.2">
      <c r="C76" s="24"/>
      <c r="H76" s="43"/>
      <c r="I76" s="44"/>
      <c r="J76" s="43"/>
      <c r="L76" s="43"/>
      <c r="M76" s="43"/>
      <c r="N76" s="43"/>
      <c r="Q76" s="43"/>
      <c r="R76" s="43"/>
    </row>
    <row r="77" spans="2:18" x14ac:dyDescent="0.2">
      <c r="C77" s="24"/>
      <c r="H77" s="43"/>
      <c r="I77" s="44"/>
      <c r="J77" s="43"/>
      <c r="L77" s="43"/>
      <c r="M77" s="43"/>
      <c r="N77" s="43"/>
      <c r="Q77" s="43"/>
      <c r="R77" s="43"/>
    </row>
    <row r="78" spans="2:18" x14ac:dyDescent="0.2">
      <c r="C78" s="24"/>
      <c r="H78" s="43"/>
      <c r="I78" s="44"/>
      <c r="J78" s="43"/>
      <c r="L78" s="43"/>
      <c r="M78" s="43"/>
      <c r="N78" s="43"/>
      <c r="Q78" s="43"/>
      <c r="R78" s="43"/>
    </row>
    <row r="79" spans="2:18" x14ac:dyDescent="0.2">
      <c r="C79" s="24"/>
      <c r="H79" s="43"/>
      <c r="I79" s="44"/>
      <c r="J79" s="43"/>
      <c r="L79" s="43"/>
      <c r="M79" s="43"/>
      <c r="N79" s="43"/>
      <c r="Q79" s="43"/>
      <c r="R79" s="43"/>
    </row>
    <row r="80" spans="2:18" x14ac:dyDescent="0.2">
      <c r="C80" s="24"/>
      <c r="H80" s="43"/>
      <c r="I80" s="44"/>
      <c r="J80" s="43"/>
      <c r="L80" s="43"/>
      <c r="M80" s="43"/>
      <c r="N80" s="43"/>
      <c r="Q80" s="43"/>
      <c r="R80" s="43"/>
    </row>
    <row r="81" spans="2:18" x14ac:dyDescent="0.2">
      <c r="C81" s="24"/>
      <c r="H81" s="43"/>
      <c r="I81" s="44"/>
      <c r="J81" s="43"/>
      <c r="L81" s="43"/>
      <c r="M81" s="43"/>
      <c r="N81" s="43"/>
      <c r="Q81" s="43"/>
      <c r="R81" s="43"/>
    </row>
    <row r="82" spans="2:18" x14ac:dyDescent="0.2">
      <c r="C82" s="24"/>
      <c r="H82" s="43"/>
      <c r="I82" s="44"/>
      <c r="J82" s="43"/>
      <c r="L82" s="43"/>
      <c r="M82" s="43"/>
      <c r="N82" s="43"/>
      <c r="Q82" s="43"/>
      <c r="R82" s="43"/>
    </row>
    <row r="83" spans="2:18" x14ac:dyDescent="0.2">
      <c r="C83" s="24"/>
      <c r="H83" s="43"/>
      <c r="I83" s="44"/>
      <c r="J83" s="43"/>
      <c r="L83" s="43"/>
      <c r="M83" s="43"/>
      <c r="N83" s="43"/>
      <c r="Q83" s="43"/>
      <c r="R83" s="43"/>
    </row>
    <row r="84" spans="2:18" x14ac:dyDescent="0.2">
      <c r="C84" s="24"/>
      <c r="H84" s="43"/>
      <c r="I84" s="44"/>
      <c r="J84" s="43"/>
      <c r="L84" s="43"/>
      <c r="M84" s="43"/>
      <c r="N84" s="43"/>
      <c r="Q84" s="43"/>
      <c r="R84" s="43"/>
    </row>
    <row r="85" spans="2:18" x14ac:dyDescent="0.2">
      <c r="C85" s="24"/>
      <c r="H85" s="43"/>
      <c r="I85" s="44"/>
      <c r="J85" s="43"/>
      <c r="L85" s="43"/>
      <c r="M85" s="43"/>
      <c r="N85" s="43"/>
      <c r="Q85" s="43"/>
      <c r="R85" s="43"/>
    </row>
    <row r="86" spans="2:18" x14ac:dyDescent="0.2">
      <c r="C86" s="24"/>
      <c r="H86" s="43"/>
      <c r="I86" s="44"/>
      <c r="J86" s="43"/>
      <c r="L86" s="43"/>
      <c r="M86" s="43"/>
      <c r="N86" s="43"/>
      <c r="Q86" s="43"/>
      <c r="R86" s="43"/>
    </row>
    <row r="87" spans="2:18" x14ac:dyDescent="0.2">
      <c r="C87" s="24"/>
      <c r="H87" s="43"/>
      <c r="I87" s="44"/>
      <c r="J87" s="43"/>
      <c r="L87" s="43"/>
      <c r="M87" s="43"/>
      <c r="N87" s="43"/>
      <c r="Q87" s="43"/>
      <c r="R87" s="43"/>
    </row>
    <row r="88" spans="2:18" x14ac:dyDescent="0.2">
      <c r="C88" s="24"/>
      <c r="H88" s="43"/>
      <c r="I88" s="44"/>
      <c r="J88" s="43"/>
      <c r="L88" s="43"/>
      <c r="M88" s="43"/>
      <c r="N88" s="43"/>
      <c r="Q88" s="43"/>
      <c r="R88" s="43"/>
    </row>
    <row r="89" spans="2:18" x14ac:dyDescent="0.2">
      <c r="C89" s="24"/>
      <c r="H89" s="43"/>
      <c r="I89" s="44"/>
      <c r="J89" s="43"/>
      <c r="L89" s="43"/>
      <c r="M89" s="43"/>
      <c r="N89" s="43"/>
      <c r="Q89" s="43"/>
      <c r="R89" s="43"/>
    </row>
    <row r="90" spans="2:18" x14ac:dyDescent="0.2">
      <c r="C90" s="24"/>
      <c r="H90" s="43"/>
      <c r="I90" s="44"/>
      <c r="J90" s="43"/>
      <c r="L90" s="43"/>
      <c r="M90" s="43"/>
      <c r="N90" s="43"/>
      <c r="Q90" s="43"/>
      <c r="R90" s="43"/>
    </row>
    <row r="91" spans="2:18" x14ac:dyDescent="0.2">
      <c r="C91" s="24"/>
      <c r="H91" s="43"/>
      <c r="I91" s="44"/>
      <c r="J91" s="43"/>
      <c r="L91" s="43"/>
      <c r="M91" s="43"/>
      <c r="N91" s="43"/>
      <c r="Q91" s="43"/>
      <c r="R91" s="43"/>
    </row>
    <row r="92" spans="2:18" x14ac:dyDescent="0.2">
      <c r="B92" s="24" t="str">
        <f>IF(Lang="Français","Textes pour les listes déroulantes et graphiques :",IF(Lang="English","Texts for drop-down lists &amp; graphics :",""))</f>
        <v>Textes pour les listes déroulantes et graphiques :</v>
      </c>
      <c r="H92" s="43"/>
      <c r="I92" s="44"/>
      <c r="J92" s="43"/>
      <c r="L92" s="43"/>
      <c r="M92" s="43"/>
      <c r="N92" s="43"/>
      <c r="Q92" s="43"/>
      <c r="R92" s="43"/>
    </row>
    <row r="93" spans="2:18" x14ac:dyDescent="0.2">
      <c r="H93" s="43"/>
      <c r="I93" s="44"/>
      <c r="J93" s="43"/>
      <c r="L93" s="43"/>
      <c r="M93" s="43"/>
      <c r="N93" s="43"/>
      <c r="Q93" s="43"/>
      <c r="R93" s="43"/>
    </row>
    <row r="94" spans="2:18" x14ac:dyDescent="0.2">
      <c r="B94" s="26" t="s">
        <v>1</v>
      </c>
      <c r="H94" s="43"/>
      <c r="I94" s="44"/>
      <c r="J94" s="43"/>
      <c r="L94" s="43"/>
      <c r="M94" s="43"/>
      <c r="N94" s="43"/>
      <c r="Q94" s="43"/>
      <c r="R94" s="43"/>
    </row>
    <row r="95" spans="2:18" x14ac:dyDescent="0.2">
      <c r="B95" s="26" t="s">
        <v>67</v>
      </c>
      <c r="H95" s="43"/>
      <c r="I95" s="44"/>
      <c r="J95" s="43"/>
      <c r="L95" s="43"/>
      <c r="M95" s="43"/>
      <c r="N95" s="43"/>
      <c r="Q95" s="43"/>
      <c r="R95" s="43"/>
    </row>
    <row r="96" spans="2:18" x14ac:dyDescent="0.2">
      <c r="B96" s="26"/>
      <c r="H96" s="43"/>
      <c r="I96" s="44"/>
      <c r="J96" s="43"/>
      <c r="L96" s="43"/>
      <c r="M96" s="43"/>
      <c r="N96" s="43"/>
      <c r="Q96" s="43"/>
      <c r="R96" s="43"/>
    </row>
    <row r="97" spans="2:18" x14ac:dyDescent="0.2">
      <c r="B97" s="26" t="str">
        <f>IF(Lang="Français","Fusée à eau  ",IF(Lang="English","Water-rocket  ",""))</f>
        <v xml:space="preserve">Fusée à eau  </v>
      </c>
      <c r="H97" s="43"/>
      <c r="I97" s="44"/>
      <c r="J97" s="43"/>
      <c r="L97" s="43"/>
      <c r="M97" s="43"/>
      <c r="N97" s="43"/>
      <c r="Q97" s="43"/>
      <c r="R97" s="43"/>
    </row>
    <row r="98" spans="2:18" x14ac:dyDescent="0.2">
      <c r="B98" s="26" t="str">
        <f>IF(Lang="Français","Microfusée",IF(Lang="English","Micro-rocket",""))</f>
        <v>Microfusée</v>
      </c>
      <c r="H98" s="43"/>
      <c r="I98" s="44"/>
      <c r="J98" s="43"/>
      <c r="L98" s="43"/>
      <c r="M98" s="43"/>
      <c r="N98" s="43"/>
      <c r="Q98" s="43"/>
      <c r="R98" s="43"/>
    </row>
    <row r="99" spans="2:18" x14ac:dyDescent="0.2">
      <c r="B99" s="26" t="str">
        <f>IF(Lang="Français","Minifusée",IF(Lang="English","Mini-rocket",""))</f>
        <v>Minifusée</v>
      </c>
      <c r="H99" s="43"/>
      <c r="I99" s="44"/>
      <c r="J99" s="43"/>
      <c r="L99" s="43"/>
      <c r="M99" s="43"/>
      <c r="N99" s="43"/>
      <c r="Q99" s="43"/>
      <c r="R99" s="43"/>
    </row>
    <row r="100" spans="2:18" x14ac:dyDescent="0.2">
      <c r="B100" s="26" t="str">
        <f>IF(Lang="Français","Fusée expérimentale.",IF(Lang="English","Experimental Rocket.",""))</f>
        <v>Fusée expérimentale.</v>
      </c>
      <c r="H100" s="43"/>
      <c r="I100" s="44"/>
      <c r="J100" s="43"/>
      <c r="L100" s="43"/>
      <c r="M100" s="43"/>
      <c r="N100" s="43"/>
      <c r="Q100" s="43"/>
      <c r="R100" s="43"/>
    </row>
    <row r="101" spans="2:18" x14ac:dyDescent="0.2">
      <c r="B101" s="26" t="s">
        <v>398</v>
      </c>
      <c r="H101" s="43"/>
      <c r="I101" s="44"/>
      <c r="J101" s="43"/>
      <c r="L101" s="43"/>
      <c r="M101" s="43"/>
      <c r="N101" s="43"/>
      <c r="Q101" s="43"/>
      <c r="R101" s="43"/>
    </row>
    <row r="102" spans="2:18" x14ac:dyDescent="0.2">
      <c r="B102" s="26"/>
      <c r="H102" s="43"/>
      <c r="I102" s="44"/>
      <c r="J102" s="43"/>
      <c r="L102" s="43"/>
      <c r="M102" s="43"/>
      <c r="N102" s="43"/>
      <c r="Q102" s="43"/>
      <c r="R102" s="43"/>
    </row>
    <row r="103" spans="2:18" x14ac:dyDescent="0.2">
      <c r="B103" s="26" t="str">
        <f>IF(Lang="Français","sans propu",IF(Lang="English","without motor",""))</f>
        <v>sans propu</v>
      </c>
      <c r="H103" s="43"/>
      <c r="I103" s="44"/>
      <c r="J103" s="43"/>
      <c r="L103" s="43"/>
      <c r="M103" s="43"/>
      <c r="N103" s="43"/>
      <c r="Q103" s="43"/>
      <c r="R103" s="43"/>
    </row>
    <row r="104" spans="2:18" x14ac:dyDescent="0.2">
      <c r="B104" s="26" t="str">
        <f>IF(Lang="Français","avec propu vide",IF(Lang="English","with empty motor",""))</f>
        <v>avec propu vide</v>
      </c>
      <c r="H104" s="43"/>
      <c r="I104" s="44"/>
      <c r="J104" s="43"/>
      <c r="L104" s="43"/>
      <c r="M104" s="43"/>
      <c r="N104" s="43"/>
      <c r="Q104" s="43"/>
      <c r="R104" s="43"/>
    </row>
    <row r="105" spans="2:18" x14ac:dyDescent="0.2">
      <c r="B105" s="26" t="str">
        <f>IF(Lang="Français","avec propu plein",IF(Lang="English","with loaded motor",""))</f>
        <v>avec propu plein</v>
      </c>
      <c r="H105" s="43"/>
      <c r="I105" s="44"/>
      <c r="J105" s="43"/>
      <c r="L105" s="43"/>
      <c r="M105" s="43"/>
      <c r="N105" s="43"/>
      <c r="Q105" s="43"/>
      <c r="R105" s="43"/>
    </row>
    <row r="106" spans="2:18" x14ac:dyDescent="0.2">
      <c r="B106" s="26"/>
      <c r="H106" s="43"/>
      <c r="I106" s="44"/>
      <c r="J106" s="43"/>
      <c r="L106" s="43"/>
      <c r="M106" s="43"/>
      <c r="N106" s="43"/>
      <c r="Q106" s="43"/>
      <c r="R106" s="43"/>
    </row>
    <row r="107" spans="2:18" x14ac:dyDescent="0.2">
      <c r="B107" s="26" t="str">
        <f>IF(Lang="Français","Parabolique (arrondie)",IF(Lang="English","Parabola (rounded)",""))</f>
        <v>Parabolique (arrondie)</v>
      </c>
      <c r="H107" s="43"/>
      <c r="I107" s="44"/>
      <c r="J107" s="43"/>
      <c r="L107" s="43"/>
      <c r="M107" s="43"/>
      <c r="N107" s="43"/>
      <c r="Q107" s="43"/>
      <c r="R107" s="43"/>
    </row>
    <row r="108" spans="2:18" x14ac:dyDescent="0.2">
      <c r="B108" s="26" t="str">
        <f>IF(Lang="Français","Ogivale (pointue)",IF(Lang="English","Ogive (sharp)",""))</f>
        <v>Ogivale (pointue)</v>
      </c>
      <c r="H108" s="43"/>
      <c r="I108" s="44"/>
      <c r="J108" s="43"/>
      <c r="L108" s="43"/>
      <c r="M108" s="43"/>
      <c r="N108" s="43"/>
      <c r="Q108" s="43"/>
      <c r="R108" s="43"/>
    </row>
    <row r="109" spans="2:18" x14ac:dyDescent="0.2">
      <c r="B109" s="26" t="str">
        <f>IF(Lang="Français","Conique (droite)",IF(Lang="English","Cone (straight)",""))</f>
        <v>Conique (droite)</v>
      </c>
      <c r="H109" s="43"/>
      <c r="I109" s="44"/>
      <c r="J109" s="43"/>
      <c r="L109" s="43"/>
      <c r="M109" s="43"/>
      <c r="N109" s="43"/>
      <c r="Q109" s="43"/>
      <c r="R109" s="43"/>
    </row>
    <row r="110" spans="2:18" x14ac:dyDescent="0.2">
      <c r="B110" s="38"/>
      <c r="H110" s="43"/>
      <c r="I110" s="44"/>
      <c r="J110" s="43"/>
      <c r="L110" s="43"/>
      <c r="M110" s="43"/>
      <c r="N110" s="43"/>
      <c r="Q110" s="43"/>
      <c r="R110" s="43"/>
    </row>
    <row r="111" spans="2:18" x14ac:dyDescent="0.2">
      <c r="B111" s="38" t="s">
        <v>424</v>
      </c>
      <c r="H111" s="43"/>
      <c r="I111" s="44"/>
      <c r="J111" s="43"/>
      <c r="L111" s="43"/>
      <c r="M111" s="43"/>
      <c r="N111" s="43"/>
      <c r="Q111" s="43"/>
      <c r="R111" s="43"/>
    </row>
    <row r="112" spans="2:18" x14ac:dyDescent="0.2">
      <c r="B112" s="38" t="s">
        <v>425</v>
      </c>
      <c r="H112" s="43"/>
      <c r="I112" s="44"/>
      <c r="J112" s="43"/>
      <c r="L112" s="43"/>
      <c r="M112" s="43"/>
      <c r="N112" s="43"/>
      <c r="Q112" s="43"/>
      <c r="R112" s="43"/>
    </row>
    <row r="113" spans="2:18" x14ac:dyDescent="0.2">
      <c r="B113" s="38"/>
      <c r="H113" s="43"/>
      <c r="I113" s="44"/>
      <c r="J113" s="43"/>
      <c r="L113" s="43"/>
      <c r="M113" s="43"/>
      <c r="N113" s="43"/>
      <c r="Q113" s="43"/>
      <c r="R113" s="43"/>
    </row>
    <row r="114" spans="2:18" x14ac:dyDescent="0.2">
      <c r="B114" s="38" t="str">
        <f>IF(Lang="Français","Fusée mono-diamètre,",IF(Lang="English","Mono-diameter rocket,",""))</f>
        <v>Fusée mono-diamètre,</v>
      </c>
      <c r="H114" s="43"/>
      <c r="I114" s="44"/>
      <c r="J114" s="43"/>
      <c r="L114" s="43"/>
      <c r="M114" s="43"/>
      <c r="N114" s="43"/>
      <c r="Q114" s="43"/>
      <c r="R114" s="43"/>
    </row>
    <row r="115" spans="2:18" x14ac:dyDescent="0.2">
      <c r="B115" s="38" t="str">
        <f>IF(Lang="Français","Plusieurs diamètres.",IF(Lang="English","Many diameters rocket.",""))</f>
        <v>Plusieurs diamètres.</v>
      </c>
      <c r="H115" s="43"/>
      <c r="I115" s="44"/>
      <c r="J115" s="43"/>
      <c r="L115" s="43"/>
      <c r="M115" s="43"/>
      <c r="N115" s="43"/>
      <c r="Q115" s="43"/>
      <c r="R115" s="43"/>
    </row>
    <row r="116" spans="2:18" x14ac:dyDescent="0.2">
      <c r="B116" s="38"/>
      <c r="H116" s="43"/>
      <c r="I116" s="44"/>
      <c r="J116" s="43"/>
      <c r="L116" s="43"/>
      <c r="M116" s="43"/>
      <c r="N116" s="43"/>
      <c r="Q116" s="43"/>
      <c r="R116" s="43"/>
    </row>
    <row r="117" spans="2:18" x14ac:dyDescent="0.2">
      <c r="B117" s="223" t="str">
        <f>IF(Lang="Français","Diagramme des critères de stabilité","Stability criterions diagram")</f>
        <v>Diagramme des critères de stabilité</v>
      </c>
      <c r="H117" s="43"/>
      <c r="I117" s="44"/>
      <c r="J117" s="43"/>
      <c r="L117" s="43"/>
      <c r="M117" s="43"/>
      <c r="N117" s="43"/>
      <c r="Q117" s="43"/>
      <c r="R117" s="43"/>
    </row>
    <row r="118" spans="2:18" x14ac:dyDescent="0.2">
      <c r="B118" s="223" t="str">
        <f>IF(Lang="Français","Marge Statique (MS)","Static Margin")</f>
        <v>Marge Statique (MS)</v>
      </c>
      <c r="H118" s="43"/>
      <c r="I118" s="44"/>
      <c r="J118" s="43"/>
      <c r="L118" s="43"/>
      <c r="M118" s="43"/>
      <c r="N118" s="43"/>
      <c r="Q118" s="43"/>
      <c r="R118" s="43"/>
    </row>
    <row r="119" spans="2:18" x14ac:dyDescent="0.2">
      <c r="B119" s="223" t="str">
        <f>IF(Lang="Français","Portance Cnα","Lift Cnα")</f>
        <v>Portance Cnα</v>
      </c>
      <c r="H119" s="43"/>
      <c r="I119" s="44"/>
      <c r="J119" s="43"/>
      <c r="L119" s="43"/>
      <c r="M119" s="43"/>
      <c r="N119" s="43"/>
      <c r="Q119" s="43"/>
      <c r="R119" s="43"/>
    </row>
    <row r="120" spans="2:18" x14ac:dyDescent="0.2">
      <c r="B120" s="38"/>
      <c r="H120" s="43"/>
      <c r="I120" s="44"/>
      <c r="J120" s="43"/>
      <c r="L120" s="43"/>
      <c r="M120" s="43"/>
      <c r="N120" s="43"/>
      <c r="Q120" s="43"/>
      <c r="R120" s="43"/>
    </row>
    <row r="121" spans="2:18" x14ac:dyDescent="0.2">
      <c r="B121" s="24" t="str">
        <f>IF(Lang="Français","Données pour les graphiques :",IF(Lang="English","Data for plots:",""))</f>
        <v>Données pour les graphiques :</v>
      </c>
      <c r="H121" s="43"/>
      <c r="I121" s="44"/>
      <c r="J121" s="43"/>
      <c r="L121" s="43"/>
      <c r="M121" s="43"/>
      <c r="N121" s="43"/>
      <c r="Q121" s="43"/>
      <c r="R121" s="43"/>
    </row>
    <row r="122" spans="2:18" x14ac:dyDescent="0.2">
      <c r="H122" s="43"/>
      <c r="I122" s="44"/>
      <c r="J122" s="43"/>
      <c r="L122" s="43"/>
      <c r="M122" s="43"/>
      <c r="N122" s="43"/>
      <c r="Q122" s="43"/>
      <c r="R122" s="43"/>
    </row>
    <row r="123" spans="2:18" x14ac:dyDescent="0.2">
      <c r="B123" s="45"/>
      <c r="C123" s="45" t="s">
        <v>68</v>
      </c>
      <c r="D123" s="45" t="s">
        <v>69</v>
      </c>
      <c r="E123" s="92" t="s">
        <v>70</v>
      </c>
      <c r="K123" s="45"/>
    </row>
    <row r="124" spans="2:18" x14ac:dyDescent="0.2">
      <c r="B124" s="45" t="s">
        <v>72</v>
      </c>
      <c r="C124" s="46">
        <f>-Long_ogive</f>
        <v>-252</v>
      </c>
      <c r="D124" s="46">
        <v>0</v>
      </c>
      <c r="E124" s="93">
        <f t="shared" ref="E124:E136" si="0">-D124</f>
        <v>0</v>
      </c>
      <c r="K124" s="46"/>
    </row>
    <row r="125" spans="2:18" x14ac:dyDescent="0.2">
      <c r="B125" s="45" t="s">
        <v>72</v>
      </c>
      <c r="C125" s="46">
        <f>-Long_ogive</f>
        <v>-252</v>
      </c>
      <c r="D125" s="46">
        <f>D_og/2</f>
        <v>42</v>
      </c>
      <c r="E125" s="93">
        <f t="shared" si="0"/>
        <v>-42</v>
      </c>
      <c r="K125" s="46"/>
    </row>
    <row r="126" spans="2:18" x14ac:dyDescent="0.2">
      <c r="B126" s="45" t="s">
        <v>73</v>
      </c>
      <c r="C126" s="46">
        <f>IF(AND(RIGHT(Nb_diam,1)=".",X_j), -X_j, C125 )</f>
        <v>-942</v>
      </c>
      <c r="D126" s="46">
        <f>IF(AND(RIGHT(Nb_diam,1)=".",X_j), D1j/2, D125 )</f>
        <v>42</v>
      </c>
      <c r="E126" s="93">
        <f t="shared" si="0"/>
        <v>-42</v>
      </c>
      <c r="K126" s="46"/>
    </row>
    <row r="127" spans="2:18" x14ac:dyDescent="0.2">
      <c r="B127" s="45" t="s">
        <v>74</v>
      </c>
      <c r="C127" s="46">
        <f>IF(AND(RIGHT(Nb_diam,1)=".",X_j), -X_j-l_j, C126 )</f>
        <v>-1002</v>
      </c>
      <c r="D127" s="46">
        <f>IF(AND(RIGHT(Nb_diam,1)=".",X_j), D2j/2, D126 )</f>
        <v>52</v>
      </c>
      <c r="E127" s="93">
        <f t="shared" si="0"/>
        <v>-52</v>
      </c>
      <c r="K127" s="46"/>
    </row>
    <row r="128" spans="2:18" x14ac:dyDescent="0.2">
      <c r="B128" s="45" t="s">
        <v>75</v>
      </c>
      <c r="C128" s="46">
        <f>IF(AND(RIGHT(Nb_diam,1)=".",X_r), -X_r, C127 )</f>
        <v>-2002</v>
      </c>
      <c r="D128" s="46">
        <f>IF(AND(RIGHT(Nb_diam,1)=".",X_r), D1r/2, D127 )</f>
        <v>52</v>
      </c>
      <c r="E128" s="93">
        <f t="shared" si="0"/>
        <v>-52</v>
      </c>
      <c r="K128" s="46"/>
    </row>
    <row r="129" spans="2:11" x14ac:dyDescent="0.2">
      <c r="B129" s="45" t="s">
        <v>76</v>
      </c>
      <c r="C129" s="46">
        <f>IF(AND(RIGHT(Nb_diam,1)=".",X_r), -X_r-l_r, C128 )</f>
        <v>-2042</v>
      </c>
      <c r="D129" s="46">
        <f>IF(AND(RIGHT(Nb_diam,1)=".",X_r), D2r/2, D128 )</f>
        <v>42</v>
      </c>
      <c r="E129" s="93">
        <f t="shared" si="0"/>
        <v>-42</v>
      </c>
      <c r="K129" s="46"/>
    </row>
    <row r="130" spans="2:11" x14ac:dyDescent="0.2">
      <c r="B130" s="45" t="s">
        <v>77</v>
      </c>
      <c r="C130" s="46">
        <f>-Long_tot</f>
        <v>-2052</v>
      </c>
      <c r="D130" s="46">
        <f>D129</f>
        <v>42</v>
      </c>
      <c r="E130" s="93">
        <f t="shared" si="0"/>
        <v>-42</v>
      </c>
      <c r="K130" s="46"/>
    </row>
    <row r="131" spans="2:11" x14ac:dyDescent="0.2">
      <c r="B131" s="45" t="s">
        <v>77</v>
      </c>
      <c r="C131" s="46">
        <f>-Long_tot</f>
        <v>-2052</v>
      </c>
      <c r="D131" s="46">
        <v>0</v>
      </c>
      <c r="E131" s="93">
        <f t="shared" si="0"/>
        <v>0</v>
      </c>
      <c r="K131" s="46"/>
    </row>
    <row r="132" spans="2:11" x14ac:dyDescent="0.2">
      <c r="B132" s="183" t="s">
        <v>78</v>
      </c>
      <c r="C132" s="197">
        <f>-X_ail+m_ail</f>
        <v>-1782</v>
      </c>
      <c r="D132" s="197">
        <f>D_ail/2</f>
        <v>52</v>
      </c>
      <c r="E132" s="198">
        <f t="shared" si="0"/>
        <v>-52</v>
      </c>
      <c r="K132" s="46"/>
    </row>
    <row r="133" spans="2:11" x14ac:dyDescent="0.2">
      <c r="B133" s="185" t="s">
        <v>79</v>
      </c>
      <c r="C133" s="46">
        <f>-X_ail+m_ail-p_ail</f>
        <v>-1962</v>
      </c>
      <c r="D133" s="46">
        <f>D_ail/2+E_ail</f>
        <v>197</v>
      </c>
      <c r="E133" s="199">
        <f t="shared" si="0"/>
        <v>-197</v>
      </c>
      <c r="K133" s="46"/>
    </row>
    <row r="134" spans="2:11" x14ac:dyDescent="0.2">
      <c r="B134" s="185" t="s">
        <v>80</v>
      </c>
      <c r="C134" s="46">
        <f>-X_ail+m_ail-p_ail-n_ail</f>
        <v>-2042</v>
      </c>
      <c r="D134" s="46">
        <f>D_ail/2+E_ail</f>
        <v>197</v>
      </c>
      <c r="E134" s="199">
        <f t="shared" si="0"/>
        <v>-197</v>
      </c>
      <c r="K134" s="46"/>
    </row>
    <row r="135" spans="2:11" x14ac:dyDescent="0.2">
      <c r="B135" s="185" t="s">
        <v>81</v>
      </c>
      <c r="C135" s="46">
        <f>-X_ail</f>
        <v>-1972</v>
      </c>
      <c r="D135" s="46">
        <f>D_ail/2</f>
        <v>52</v>
      </c>
      <c r="E135" s="199">
        <f t="shared" si="0"/>
        <v>-52</v>
      </c>
      <c r="K135" s="46"/>
    </row>
    <row r="136" spans="2:11" x14ac:dyDescent="0.2">
      <c r="B136" s="187" t="s">
        <v>78</v>
      </c>
      <c r="C136" s="200">
        <f>-X_ail+m_ail</f>
        <v>-1782</v>
      </c>
      <c r="D136" s="200">
        <f>D_ail/2</f>
        <v>52</v>
      </c>
      <c r="E136" s="201">
        <f t="shared" si="0"/>
        <v>-52</v>
      </c>
      <c r="K136" s="46"/>
    </row>
    <row r="137" spans="2:11" x14ac:dyDescent="0.2">
      <c r="B137" s="192" t="str">
        <f>IF(E_ail&gt;0,IF(Lang="Français","Envergure","Span"),"")</f>
        <v>Envergure</v>
      </c>
      <c r="C137" s="197">
        <f>MIN(-X_ail,-X_ail+m_ail-p_ail-n_ail)-Long_tot/30</f>
        <v>-2110.4</v>
      </c>
      <c r="D137" s="207">
        <f>-D_ail/2-E_ail</f>
        <v>-197</v>
      </c>
      <c r="E137" s="93"/>
      <c r="K137" s="46"/>
    </row>
    <row r="138" spans="2:11" x14ac:dyDescent="0.2">
      <c r="B138" s="195" t="s">
        <v>166</v>
      </c>
      <c r="C138" s="46">
        <f>MIN(-X_ail,-X_ail+m_ail-p_ail-n_ail)-Long_tot/30</f>
        <v>-2110.4</v>
      </c>
      <c r="D138" s="208">
        <f>-D_ail/2-E_ail/2</f>
        <v>-124.5</v>
      </c>
      <c r="E138" s="93"/>
      <c r="K138" s="46"/>
    </row>
    <row r="139" spans="2:11" x14ac:dyDescent="0.2">
      <c r="B139" s="212" t="s">
        <v>162</v>
      </c>
      <c r="C139" s="200">
        <f>MIN(-X_ail,-X_ail+m_ail-p_ail-n_ail)-Long_tot/30</f>
        <v>-2110.4</v>
      </c>
      <c r="D139" s="209">
        <f>-D_ail/2</f>
        <v>-52</v>
      </c>
      <c r="E139" s="93"/>
      <c r="K139" s="46"/>
    </row>
    <row r="140" spans="2:11" x14ac:dyDescent="0.2">
      <c r="B140" s="192" t="str">
        <f>IF(Lang="Français","Emplanture","Root edge")</f>
        <v>Emplanture</v>
      </c>
      <c r="C140" s="197">
        <f>-X_ail+m_ail</f>
        <v>-1782</v>
      </c>
      <c r="D140" s="207">
        <f>D_ail/2+E_ail+Long_tot/20</f>
        <v>299.60000000000002</v>
      </c>
      <c r="E140" s="93"/>
      <c r="K140" s="46"/>
    </row>
    <row r="141" spans="2:11" x14ac:dyDescent="0.2">
      <c r="B141" s="195" t="s">
        <v>168</v>
      </c>
      <c r="C141" s="46">
        <f>-X_ail+m_ail/2</f>
        <v>-1877</v>
      </c>
      <c r="D141" s="208">
        <f>D_ail/2+E_ail+Long_tot/20</f>
        <v>299.60000000000002</v>
      </c>
      <c r="E141" s="93"/>
      <c r="K141" s="46"/>
    </row>
    <row r="142" spans="2:11" x14ac:dyDescent="0.2">
      <c r="B142" s="212" t="s">
        <v>169</v>
      </c>
      <c r="C142" s="200">
        <f>-X_ail</f>
        <v>-1972</v>
      </c>
      <c r="D142" s="209">
        <f>D_ail/2+E_ail+Long_tot/20</f>
        <v>299.60000000000002</v>
      </c>
      <c r="E142" s="93"/>
      <c r="K142" s="46"/>
    </row>
    <row r="143" spans="2:11" x14ac:dyDescent="0.2">
      <c r="B143" s="192" t="str">
        <f>IF(p_ail&lt;&gt;0,IF(Lang="Français","Flèche","Offset"),"")</f>
        <v>Flèche</v>
      </c>
      <c r="C143" s="197">
        <f>-X_ail+m_ail</f>
        <v>-1782</v>
      </c>
      <c r="D143" s="207">
        <f>-D_ail/2-E_ail-Long_tot/30</f>
        <v>-265.39999999999998</v>
      </c>
      <c r="E143" s="93"/>
      <c r="K143" s="46"/>
    </row>
    <row r="144" spans="2:11" x14ac:dyDescent="0.2">
      <c r="B144" s="195" t="s">
        <v>165</v>
      </c>
      <c r="C144" s="46">
        <f>-X_ail+m_ail-p_ail/2</f>
        <v>-1872</v>
      </c>
      <c r="D144" s="208">
        <f>-D_ail/2-E_ail-Long_tot/30</f>
        <v>-265.39999999999998</v>
      </c>
      <c r="E144" s="93"/>
      <c r="K144" s="46"/>
    </row>
    <row r="145" spans="2:11" x14ac:dyDescent="0.2">
      <c r="B145" s="212" t="s">
        <v>163</v>
      </c>
      <c r="C145" s="200">
        <f>-X_ail+m_ail-p_ail</f>
        <v>-1962</v>
      </c>
      <c r="D145" s="209">
        <f>-D_ail/2-E_ail-Long_tot/30</f>
        <v>-265.39999999999998</v>
      </c>
      <c r="E145" s="93"/>
      <c r="K145" s="46"/>
    </row>
    <row r="146" spans="2:11" x14ac:dyDescent="0.2">
      <c r="B146" s="192" t="str">
        <f>IF(n_ail&gt;0,IF(Lang="Français","Saumon","Tip edge"),"")</f>
        <v>Saumon</v>
      </c>
      <c r="C146" s="197">
        <f>-X_ail+m_ail-p_ail</f>
        <v>-1962</v>
      </c>
      <c r="D146" s="207">
        <f>-D_ail/2-E_ail-Long_tot/20</f>
        <v>-299.60000000000002</v>
      </c>
      <c r="E146" s="93"/>
      <c r="K146" s="46"/>
    </row>
    <row r="147" spans="2:11" x14ac:dyDescent="0.2">
      <c r="B147" s="195" t="s">
        <v>167</v>
      </c>
      <c r="C147" s="46">
        <f>-X_ail+m_ail-p_ail-n_ail/2</f>
        <v>-2002</v>
      </c>
      <c r="D147" s="208">
        <f>-D_ail/2-E_ail-Long_tot/20</f>
        <v>-299.60000000000002</v>
      </c>
      <c r="E147" s="93"/>
      <c r="K147" s="46"/>
    </row>
    <row r="148" spans="2:11" x14ac:dyDescent="0.2">
      <c r="B148" s="212" t="s">
        <v>164</v>
      </c>
      <c r="C148" s="200">
        <f>-X_ail+m_ail-p_ail-n_ail</f>
        <v>-2042</v>
      </c>
      <c r="D148" s="209">
        <f>-D_ail/2-E_ail-Long_tot/20</f>
        <v>-299.60000000000002</v>
      </c>
      <c r="E148" s="93"/>
      <c r="K148" s="46"/>
    </row>
    <row r="149" spans="2:11" x14ac:dyDescent="0.2">
      <c r="B149" s="183" t="s">
        <v>82</v>
      </c>
      <c r="C149" s="197">
        <f ca="1">-XcgPlein</f>
        <v>-1180.9943074003795</v>
      </c>
      <c r="D149" s="207">
        <v>0</v>
      </c>
      <c r="E149" s="93"/>
      <c r="K149" s="46"/>
    </row>
    <row r="150" spans="2:11" x14ac:dyDescent="0.2">
      <c r="B150" s="187" t="s">
        <v>83</v>
      </c>
      <c r="C150" s="200">
        <f ca="1">-XcgVide</f>
        <v>-1102.253980193055</v>
      </c>
      <c r="D150" s="209">
        <v>0</v>
      </c>
      <c r="E150" s="93"/>
      <c r="K150" s="46"/>
    </row>
    <row r="151" spans="2:11" x14ac:dyDescent="0.2">
      <c r="B151" s="183" t="s">
        <v>84</v>
      </c>
      <c r="C151" s="197">
        <f>-XCp</f>
        <v>-1299.8709230581503</v>
      </c>
      <c r="D151" s="207">
        <v>0</v>
      </c>
      <c r="E151" s="93"/>
      <c r="K151" s="46"/>
    </row>
    <row r="152" spans="2:11" x14ac:dyDescent="0.2">
      <c r="B152" s="187" t="s">
        <v>84</v>
      </c>
      <c r="C152" s="200">
        <f>-XCp</f>
        <v>-1299.8709230581503</v>
      </c>
      <c r="D152" s="209">
        <f>Cn*D_ref/CritCnmin</f>
        <v>149.12948659418851</v>
      </c>
      <c r="E152" s="93"/>
      <c r="K152" s="46"/>
    </row>
    <row r="153" spans="2:11" x14ac:dyDescent="0.2">
      <c r="B153" s="185" t="s">
        <v>422</v>
      </c>
      <c r="C153" s="46">
        <f>-XCp0</f>
        <v>-1398.7372071664226</v>
      </c>
      <c r="D153" s="208">
        <f>Cn0*D_ref/CritCnmin</f>
        <v>178.81567408747844</v>
      </c>
      <c r="E153" s="93"/>
      <c r="K153" s="46"/>
    </row>
    <row r="154" spans="2:11" x14ac:dyDescent="0.2">
      <c r="B154" s="185" t="s">
        <v>422</v>
      </c>
      <c r="C154" s="46">
        <f>-XCp0</f>
        <v>-1398.7372071664226</v>
      </c>
      <c r="D154" s="208">
        <v>0</v>
      </c>
      <c r="E154" s="93"/>
      <c r="K154" s="46"/>
    </row>
    <row r="155" spans="2:11" x14ac:dyDescent="0.2">
      <c r="B155" s="192" t="str">
        <f>IF(n_ail&gt;0,IF(Lang="Français","Marge Statique","Static Margin"),"")</f>
        <v>Marge Statique</v>
      </c>
      <c r="C155" s="197">
        <f ca="1">(-XcgPlein-XcgVide)/2</f>
        <v>-1141.6241437967174</v>
      </c>
      <c r="D155" s="207">
        <f>-D_ail/2-E_ail-Long_tot/20</f>
        <v>-299.60000000000002</v>
      </c>
      <c r="E155" s="93"/>
      <c r="K155" s="46"/>
    </row>
    <row r="156" spans="2:11" x14ac:dyDescent="0.2">
      <c r="B156" s="195" t="s">
        <v>170</v>
      </c>
      <c r="C156" s="46">
        <f ca="1">(C155+C157)/2</f>
        <v>-1220.7475334274338</v>
      </c>
      <c r="D156" s="208">
        <f>-D_ail/2-E_ail-Long_tot/20</f>
        <v>-299.60000000000002</v>
      </c>
      <c r="E156" s="93"/>
      <c r="K156" s="46"/>
    </row>
    <row r="157" spans="2:11" x14ac:dyDescent="0.2">
      <c r="B157" s="212" t="s">
        <v>171</v>
      </c>
      <c r="C157" s="200">
        <f>-XCp</f>
        <v>-1299.8709230581503</v>
      </c>
      <c r="D157" s="209">
        <f>-D_ail/2-E_ail-Long_tot/20</f>
        <v>-299.60000000000002</v>
      </c>
      <c r="E157" s="93"/>
      <c r="K157" s="46"/>
    </row>
    <row r="158" spans="2:11" x14ac:dyDescent="0.2">
      <c r="B158" s="183" t="s">
        <v>85</v>
      </c>
      <c r="C158" s="197">
        <f>IF(LEFT(Type_masquage,1)="M",0,-X_can+m_can)</f>
        <v>-772</v>
      </c>
      <c r="D158" s="197">
        <f>IF(LEFT(Type_masquage,1)="M",0,D_ail/2)</f>
        <v>52</v>
      </c>
      <c r="E158" s="198">
        <f t="shared" ref="E158:E167" si="1">-D158</f>
        <v>-52</v>
      </c>
      <c r="K158" s="46"/>
    </row>
    <row r="159" spans="2:11" x14ac:dyDescent="0.2">
      <c r="B159" s="185" t="s">
        <v>86</v>
      </c>
      <c r="C159" s="46">
        <f>IF(LEFT(Type_masquage,1)="M",0,-X_can+m_can-p_can)</f>
        <v>-892</v>
      </c>
      <c r="D159" s="46">
        <f>IF(LEFT(Type_masquage,1)="M",0,D_ail/2+E_can)</f>
        <v>159</v>
      </c>
      <c r="E159" s="199">
        <f t="shared" si="1"/>
        <v>-159</v>
      </c>
      <c r="K159" s="46"/>
    </row>
    <row r="160" spans="2:11" x14ac:dyDescent="0.2">
      <c r="B160" s="185" t="s">
        <v>87</v>
      </c>
      <c r="C160" s="46">
        <f>IF(LEFT(Type_masquage,1)="M",0,-X_can+m_can-p_can-n_can)</f>
        <v>-972</v>
      </c>
      <c r="D160" s="46">
        <f>IF(LEFT(Type_masquage,1)="M",0,D_ail/2+E_can)</f>
        <v>159</v>
      </c>
      <c r="E160" s="199">
        <f t="shared" si="1"/>
        <v>-159</v>
      </c>
      <c r="K160" s="46"/>
    </row>
    <row r="161" spans="2:11" x14ac:dyDescent="0.2">
      <c r="B161" s="185" t="s">
        <v>88</v>
      </c>
      <c r="C161" s="46">
        <f>IF(LEFT(Type_masquage,1)="M",0,-X_can)</f>
        <v>-942</v>
      </c>
      <c r="D161" s="46">
        <f>IF(LEFT(Type_masquage,1)="M",0,D_ail/2)</f>
        <v>52</v>
      </c>
      <c r="E161" s="199">
        <f t="shared" si="1"/>
        <v>-52</v>
      </c>
      <c r="K161" s="46"/>
    </row>
    <row r="162" spans="2:11" x14ac:dyDescent="0.2">
      <c r="B162" s="187" t="s">
        <v>85</v>
      </c>
      <c r="C162" s="200">
        <f>IF(LEFT(Type_masquage,1)="M",0,-X_can+m_can)</f>
        <v>-772</v>
      </c>
      <c r="D162" s="200">
        <f>IF(LEFT(Type_masquage,1)="M",0,D_ail/2)</f>
        <v>52</v>
      </c>
      <c r="E162" s="201">
        <f t="shared" si="1"/>
        <v>-52</v>
      </c>
      <c r="K162" s="46"/>
    </row>
    <row r="163" spans="2:11" x14ac:dyDescent="0.2">
      <c r="B163" s="183" t="s">
        <v>89</v>
      </c>
      <c r="C163" s="197">
        <f>IF(LEFT(Type_masquage,1)="B",-X_int+m_int,0)</f>
        <v>-1782</v>
      </c>
      <c r="D163" s="197">
        <f>IF(LEFT(Type_masquage,1)="B",D_int/2,0)</f>
        <v>52</v>
      </c>
      <c r="E163" s="198">
        <f t="shared" si="1"/>
        <v>-52</v>
      </c>
      <c r="K163" s="46"/>
    </row>
    <row r="164" spans="2:11" x14ac:dyDescent="0.2">
      <c r="B164" s="185" t="s">
        <v>90</v>
      </c>
      <c r="C164" s="46">
        <f>IF(LEFT(Type_masquage,1)="B",-X_int+m_int-p_int,0)</f>
        <v>-1902.4137931034484</v>
      </c>
      <c r="D164" s="46">
        <f>IF(LEFT(Type_masquage,1)="B",D_int/2+E_int,0)</f>
        <v>149</v>
      </c>
      <c r="E164" s="199">
        <f t="shared" si="1"/>
        <v>-149</v>
      </c>
      <c r="K164" s="46"/>
    </row>
    <row r="165" spans="2:11" x14ac:dyDescent="0.2">
      <c r="B165" s="185" t="s">
        <v>91</v>
      </c>
      <c r="C165" s="46">
        <f>IF(LEFT(Type_masquage,1)="B",-X_int+m_int-p_int-n_int,0)</f>
        <v>-2018.8275862068967</v>
      </c>
      <c r="D165" s="46">
        <f>IF(LEFT(Type_masquage,1)="B",D_int/2+E_int,0)</f>
        <v>149</v>
      </c>
      <c r="E165" s="199">
        <f t="shared" si="1"/>
        <v>-149</v>
      </c>
      <c r="K165" s="46"/>
    </row>
    <row r="166" spans="2:11" x14ac:dyDescent="0.2">
      <c r="B166" s="185" t="s">
        <v>92</v>
      </c>
      <c r="C166" s="46">
        <f>IF(LEFT(Type_masquage,1)="B",-X_int,0)</f>
        <v>-1972</v>
      </c>
      <c r="D166" s="46">
        <f>IF(LEFT(Type_masquage,1)="B",D_int/2,0)</f>
        <v>52</v>
      </c>
      <c r="E166" s="199">
        <f t="shared" si="1"/>
        <v>-52</v>
      </c>
      <c r="K166" s="46"/>
    </row>
    <row r="167" spans="2:11" x14ac:dyDescent="0.2">
      <c r="B167" s="187" t="s">
        <v>89</v>
      </c>
      <c r="C167" s="200">
        <f>IF(LEFT(Type_masquage,1)="B",-X_int+m_int,0)</f>
        <v>-1782</v>
      </c>
      <c r="D167" s="200">
        <f>IF(LEFT(Type_masquage,1)="B",D_int/2,0)</f>
        <v>52</v>
      </c>
      <c r="E167" s="201">
        <f t="shared" si="1"/>
        <v>-52</v>
      </c>
      <c r="K167" s="46"/>
    </row>
    <row r="168" spans="2:11" x14ac:dyDescent="0.2">
      <c r="B168" s="45" t="s">
        <v>93</v>
      </c>
      <c r="C168" s="46">
        <f>-MAX(Long_tot, X_ail-m_ail+p_ail+n_ail, (E_ail+D_ail/2)*3.2)*1.01</f>
        <v>-2072.52</v>
      </c>
      <c r="D168" s="46">
        <f>MAX(E_ail+D_ail/2, Long_tot/3)</f>
        <v>684</v>
      </c>
      <c r="E168" s="93"/>
      <c r="K168" s="46"/>
    </row>
    <row r="169" spans="2:11" x14ac:dyDescent="0.2">
      <c r="B169" s="45" t="s">
        <v>93</v>
      </c>
      <c r="C169" s="46">
        <f>C168</f>
        <v>-2072.52</v>
      </c>
      <c r="D169" s="46">
        <f>-D168</f>
        <v>-684</v>
      </c>
      <c r="E169" s="93"/>
      <c r="K169" s="46"/>
    </row>
    <row r="170" spans="2:11" x14ac:dyDescent="0.2">
      <c r="B170" s="183" t="s">
        <v>94</v>
      </c>
      <c r="C170" s="197">
        <f ca="1">-XpropuRef+Long_propu</f>
        <v>-1564</v>
      </c>
      <c r="D170" s="207">
        <f ca="1">-Diam_propu/2</f>
        <v>-27</v>
      </c>
      <c r="E170" s="93"/>
      <c r="K170" s="46"/>
    </row>
    <row r="171" spans="2:11" x14ac:dyDescent="0.2">
      <c r="B171" s="185" t="s">
        <v>95</v>
      </c>
      <c r="C171" s="46">
        <f ca="1">-XpropuRef+Long_propu</f>
        <v>-1564</v>
      </c>
      <c r="D171" s="208">
        <f ca="1">Diam_propu/2</f>
        <v>27</v>
      </c>
      <c r="E171" s="93"/>
      <c r="K171" s="46"/>
    </row>
    <row r="172" spans="2:11" x14ac:dyDescent="0.2">
      <c r="B172" s="185" t="s">
        <v>96</v>
      </c>
      <c r="C172" s="46">
        <f>-XpropuRef</f>
        <v>-2052</v>
      </c>
      <c r="D172" s="208">
        <f ca="1">Diam_propu/2</f>
        <v>27</v>
      </c>
      <c r="E172" s="93"/>
      <c r="K172" s="46"/>
    </row>
    <row r="173" spans="2:11" x14ac:dyDescent="0.2">
      <c r="B173" s="185" t="s">
        <v>97</v>
      </c>
      <c r="C173" s="46">
        <f>-XpropuRef</f>
        <v>-2052</v>
      </c>
      <c r="D173" s="208">
        <f ca="1">-Diam_propu/2</f>
        <v>-27</v>
      </c>
      <c r="E173" s="93"/>
      <c r="K173" s="46"/>
    </row>
    <row r="174" spans="2:11" x14ac:dyDescent="0.2">
      <c r="B174" s="187" t="s">
        <v>98</v>
      </c>
      <c r="C174" s="200">
        <f ca="1">-XpropuRef+Long_propu</f>
        <v>-1564</v>
      </c>
      <c r="D174" s="209">
        <f ca="1">-Diam_propu/2</f>
        <v>-27</v>
      </c>
      <c r="E174" s="93"/>
      <c r="F174" s="192" t="s">
        <v>159</v>
      </c>
      <c r="G174" s="193" t="s">
        <v>160</v>
      </c>
      <c r="H174" s="194" t="s">
        <v>161</v>
      </c>
      <c r="K174" s="46"/>
    </row>
    <row r="175" spans="2:11" x14ac:dyDescent="0.2">
      <c r="B175" s="183" t="s">
        <v>71</v>
      </c>
      <c r="C175" s="197">
        <v>0</v>
      </c>
      <c r="D175" s="197">
        <v>0</v>
      </c>
      <c r="E175" s="198">
        <f t="shared" ref="E175:E180" si="2">-D175</f>
        <v>0</v>
      </c>
      <c r="F175" s="195">
        <v>0</v>
      </c>
      <c r="G175" s="45">
        <v>0</v>
      </c>
      <c r="H175" s="189">
        <v>0</v>
      </c>
      <c r="K175" s="46"/>
    </row>
    <row r="176" spans="2:11" x14ac:dyDescent="0.2">
      <c r="B176" s="185" t="s">
        <v>72</v>
      </c>
      <c r="C176" s="46">
        <f>-Long_ogive*0.1</f>
        <v>-25.200000000000003</v>
      </c>
      <c r="D176" s="46">
        <f>IF(LEFT(Forme_ogive,5)="Parab",H176,IF(LEFT(Forme_ogive,4)="Ogiv",G176,IF(LEFT(Forme_ogive,3)="Con",F176)))</f>
        <v>4.2</v>
      </c>
      <c r="E176" s="199">
        <f t="shared" si="2"/>
        <v>-4.2</v>
      </c>
      <c r="F176" s="185">
        <f>D_og/2*0.1</f>
        <v>4.2</v>
      </c>
      <c r="G176" s="45">
        <f>D_og/2*0.2</f>
        <v>8.4</v>
      </c>
      <c r="H176" s="189">
        <f>D_og/2*0.5</f>
        <v>21</v>
      </c>
      <c r="K176" s="46"/>
    </row>
    <row r="177" spans="2:11" x14ac:dyDescent="0.2">
      <c r="B177" s="185" t="s">
        <v>72</v>
      </c>
      <c r="C177" s="46">
        <f>-Long_ogive/4</f>
        <v>-63</v>
      </c>
      <c r="D177" s="46">
        <f>IF(LEFT(Forme_ogive,5)="Parab",H177,IF(LEFT(Forme_ogive,4)="Ogiv",G177,IF(LEFT(Forme_ogive,3)="Con",F177)))</f>
        <v>10.5</v>
      </c>
      <c r="E177" s="199">
        <f t="shared" si="2"/>
        <v>-10.5</v>
      </c>
      <c r="F177" s="185">
        <f>D_og/2*1/4</f>
        <v>10.5</v>
      </c>
      <c r="G177" s="45">
        <f>D_og/2/2</f>
        <v>21</v>
      </c>
      <c r="H177" s="189">
        <f>D_og/2*0.7</f>
        <v>29.4</v>
      </c>
      <c r="K177" s="46"/>
    </row>
    <row r="178" spans="2:11" x14ac:dyDescent="0.2">
      <c r="B178" s="185" t="s">
        <v>72</v>
      </c>
      <c r="C178" s="46">
        <f>-Long_ogive/2</f>
        <v>-126</v>
      </c>
      <c r="D178" s="46">
        <f>IF(LEFT(Forme_ogive,5)="Parab",H178,IF(LEFT(Forme_ogive,4)="Ogiv",G178,IF(LEFT(Forme_ogive,3)="Con",F178)))</f>
        <v>21</v>
      </c>
      <c r="E178" s="199">
        <f t="shared" si="2"/>
        <v>-21</v>
      </c>
      <c r="F178" s="185">
        <f>D_og/2/2</f>
        <v>21</v>
      </c>
      <c r="G178" s="45">
        <f>D_og/2*3/4</f>
        <v>31.5</v>
      </c>
      <c r="H178" s="189">
        <f>D_og/2*0.88</f>
        <v>36.96</v>
      </c>
      <c r="K178" s="46"/>
    </row>
    <row r="179" spans="2:11" x14ac:dyDescent="0.2">
      <c r="B179" s="185" t="s">
        <v>72</v>
      </c>
      <c r="C179" s="46">
        <f>-Long_ogive*3/4</f>
        <v>-189</v>
      </c>
      <c r="D179" s="46">
        <f>IF(LEFT(Forme_ogive,5)="Parab",H179,IF(LEFT(Forme_ogive,4)="Ogiv",G179,IF(LEFT(Forme_ogive,3)="Con",F179)))</f>
        <v>31.5</v>
      </c>
      <c r="E179" s="199">
        <f t="shared" si="2"/>
        <v>-31.5</v>
      </c>
      <c r="F179" s="185">
        <f>D_og/2*3/4</f>
        <v>31.5</v>
      </c>
      <c r="G179" s="45">
        <f>D_og/2*0.9</f>
        <v>37.800000000000004</v>
      </c>
      <c r="H179" s="189">
        <f>D_og/2*0.95</f>
        <v>39.9</v>
      </c>
      <c r="K179" s="46"/>
    </row>
    <row r="180" spans="2:11" x14ac:dyDescent="0.2">
      <c r="B180" s="187" t="s">
        <v>72</v>
      </c>
      <c r="C180" s="200">
        <f>-Long_ogive</f>
        <v>-252</v>
      </c>
      <c r="D180" s="200">
        <f>D_og/2</f>
        <v>42</v>
      </c>
      <c r="E180" s="201">
        <f t="shared" si="2"/>
        <v>-42</v>
      </c>
      <c r="F180" s="187">
        <f>D_og/2</f>
        <v>42</v>
      </c>
      <c r="G180" s="196">
        <f>D_og/2</f>
        <v>42</v>
      </c>
      <c r="H180" s="190">
        <f>D_og/2</f>
        <v>42</v>
      </c>
      <c r="K180" s="26"/>
    </row>
    <row r="181" spans="2:11" x14ac:dyDescent="0.2">
      <c r="B181" s="45" t="s">
        <v>99</v>
      </c>
      <c r="C181" s="45" t="s">
        <v>100</v>
      </c>
      <c r="D181" s="183" t="s">
        <v>99</v>
      </c>
      <c r="E181" s="204" t="s">
        <v>100</v>
      </c>
      <c r="K181" s="45"/>
    </row>
    <row r="182" spans="2:11" x14ac:dyDescent="0.2">
      <c r="B182" s="183">
        <v>0</v>
      </c>
      <c r="C182" s="202">
        <f>CritCnmin</f>
        <v>15</v>
      </c>
      <c r="D182" s="185">
        <v>0.5</v>
      </c>
      <c r="E182" s="205">
        <f t="shared" ref="E182:E187" si="3">CritMsCnmin/D182</f>
        <v>80</v>
      </c>
      <c r="K182" s="45"/>
    </row>
    <row r="183" spans="2:11" x14ac:dyDescent="0.2">
      <c r="B183" s="187">
        <v>7</v>
      </c>
      <c r="C183" s="196">
        <f>CritCnmin</f>
        <v>15</v>
      </c>
      <c r="D183" s="185">
        <v>1</v>
      </c>
      <c r="E183" s="205">
        <f t="shared" si="3"/>
        <v>40</v>
      </c>
      <c r="K183" s="45"/>
    </row>
    <row r="184" spans="2:11" x14ac:dyDescent="0.2">
      <c r="B184" s="183">
        <v>0</v>
      </c>
      <c r="C184" s="202">
        <f>CritCnmax</f>
        <v>40</v>
      </c>
      <c r="D184" s="185">
        <v>2</v>
      </c>
      <c r="E184" s="205">
        <f t="shared" si="3"/>
        <v>20</v>
      </c>
      <c r="K184" s="45"/>
    </row>
    <row r="185" spans="2:11" x14ac:dyDescent="0.2">
      <c r="B185" s="187">
        <v>7</v>
      </c>
      <c r="C185" s="196">
        <f>CritCnmax</f>
        <v>40</v>
      </c>
      <c r="D185" s="185">
        <v>3</v>
      </c>
      <c r="E185" s="205">
        <f t="shared" si="3"/>
        <v>13.333333333333334</v>
      </c>
      <c r="K185" s="45"/>
    </row>
    <row r="186" spans="2:11" x14ac:dyDescent="0.2">
      <c r="B186" s="183">
        <f>CritMsmin</f>
        <v>2</v>
      </c>
      <c r="C186" s="202">
        <v>0</v>
      </c>
      <c r="D186" s="185">
        <v>5</v>
      </c>
      <c r="E186" s="205">
        <f t="shared" si="3"/>
        <v>8</v>
      </c>
      <c r="K186" s="45"/>
    </row>
    <row r="187" spans="2:11" x14ac:dyDescent="0.2">
      <c r="B187" s="187">
        <f>CritMsmin</f>
        <v>2</v>
      </c>
      <c r="C187" s="196">
        <v>55</v>
      </c>
      <c r="D187" s="185">
        <v>7</v>
      </c>
      <c r="E187" s="205">
        <f t="shared" si="3"/>
        <v>5.7142857142857144</v>
      </c>
      <c r="K187" s="45"/>
    </row>
    <row r="188" spans="2:11" x14ac:dyDescent="0.2">
      <c r="B188" s="183">
        <f>CritMsmax</f>
        <v>6</v>
      </c>
      <c r="C188" s="202">
        <v>0</v>
      </c>
      <c r="D188" s="185">
        <v>1</v>
      </c>
      <c r="E188" s="205">
        <f t="shared" ref="E188:E193" si="4">CritMsCnmax/D188</f>
        <v>100</v>
      </c>
      <c r="K188" s="45"/>
    </row>
    <row r="189" spans="2:11" x14ac:dyDescent="0.2">
      <c r="B189" s="187">
        <f>CritMsmax</f>
        <v>6</v>
      </c>
      <c r="C189" s="196">
        <v>55</v>
      </c>
      <c r="D189" s="185">
        <v>2</v>
      </c>
      <c r="E189" s="205">
        <f t="shared" si="4"/>
        <v>50</v>
      </c>
      <c r="K189" s="45"/>
    </row>
    <row r="190" spans="2:11" x14ac:dyDescent="0.2">
      <c r="B190" s="191">
        <f ca="1">MS_min</f>
        <v>1.2007738955330385</v>
      </c>
      <c r="C190" s="203">
        <f>Cn</f>
        <v>22.595376756695227</v>
      </c>
      <c r="D190" s="185">
        <v>3</v>
      </c>
      <c r="E190" s="205">
        <f t="shared" si="4"/>
        <v>33.333333333333336</v>
      </c>
      <c r="K190" s="45"/>
    </row>
    <row r="191" spans="2:11" x14ac:dyDescent="0.2">
      <c r="B191" s="512">
        <f ca="1">(XCp0-XcgPlein)/D_ref</f>
        <v>2.1994232299600318</v>
      </c>
      <c r="C191" s="513">
        <f>Cn0</f>
        <v>27.09328395264825</v>
      </c>
      <c r="D191" s="185">
        <v>4</v>
      </c>
      <c r="E191" s="205">
        <f t="shared" si="4"/>
        <v>25</v>
      </c>
      <c r="K191" s="45"/>
    </row>
    <row r="192" spans="2:11" x14ac:dyDescent="0.2">
      <c r="B192" s="512">
        <f ca="1">(XCp0-XcgVide)/D_ref</f>
        <v>2.9947800704380572</v>
      </c>
      <c r="C192" s="513">
        <f>Cn0</f>
        <v>27.09328395264825</v>
      </c>
      <c r="D192" s="185">
        <v>6</v>
      </c>
      <c r="E192" s="205">
        <f t="shared" si="4"/>
        <v>16.666666666666668</v>
      </c>
      <c r="K192" s="45"/>
    </row>
    <row r="193" spans="2:11" x14ac:dyDescent="0.2">
      <c r="B193" s="512">
        <f ca="1">(XCp-XcgVide)/D_ref</f>
        <v>1.9961307360110638</v>
      </c>
      <c r="C193" s="513">
        <f>Cn</f>
        <v>22.595376756695227</v>
      </c>
      <c r="D193" s="187">
        <v>7</v>
      </c>
      <c r="E193" s="206">
        <f t="shared" si="4"/>
        <v>14.285714285714286</v>
      </c>
      <c r="K193" s="45"/>
    </row>
    <row r="194" spans="2:11" x14ac:dyDescent="0.2">
      <c r="B194" s="512">
        <f ca="1">MS_min</f>
        <v>1.2007738955330385</v>
      </c>
      <c r="C194" s="514">
        <f>Cn</f>
        <v>22.595376756695227</v>
      </c>
      <c r="D194" s="45"/>
      <c r="E194" s="92"/>
      <c r="K194" s="45"/>
    </row>
    <row r="195" spans="2:11" x14ac:dyDescent="0.2">
      <c r="B195" s="183">
        <v>0</v>
      </c>
      <c r="C195" s="202">
        <f>(CritCnmin+CritCnmax)/2</f>
        <v>27.5</v>
      </c>
      <c r="D195" s="26"/>
      <c r="E195" s="90"/>
      <c r="K195" s="26"/>
    </row>
    <row r="196" spans="2:11" x14ac:dyDescent="0.2">
      <c r="B196" s="185">
        <f>MAX(CritMsmin,CritMsCnmin/C196)</f>
        <v>2</v>
      </c>
      <c r="C196" s="45">
        <f>(CritCnmin+CritCnmax)/2</f>
        <v>27.5</v>
      </c>
      <c r="D196" s="26"/>
      <c r="E196" s="90"/>
      <c r="K196" s="26"/>
    </row>
    <row r="197" spans="2:11" x14ac:dyDescent="0.2">
      <c r="B197" s="185">
        <f>MIN(CritMsmax,CritMsCnmax/C197)</f>
        <v>3.6363636363636362</v>
      </c>
      <c r="C197" s="189">
        <f>(CritCnmin+CritCnmax)/2</f>
        <v>27.5</v>
      </c>
    </row>
    <row r="198" spans="2:11" x14ac:dyDescent="0.2">
      <c r="B198" s="187">
        <v>7</v>
      </c>
      <c r="C198" s="190">
        <f>(CritCnmin+CritCnmax)/2</f>
        <v>27.5</v>
      </c>
    </row>
    <row r="199" spans="2:11" x14ac:dyDescent="0.2">
      <c r="B199" s="183">
        <f>(CritMsmin+CritMsmax)/2</f>
        <v>4</v>
      </c>
      <c r="C199" s="184">
        <v>0</v>
      </c>
    </row>
    <row r="200" spans="2:11" x14ac:dyDescent="0.2">
      <c r="B200" s="185">
        <f>(CritMsmin+CritMsmax)/2</f>
        <v>4</v>
      </c>
      <c r="C200" s="186">
        <f>MAX(CritCnmin,CritMsCnmin/B200)</f>
        <v>15</v>
      </c>
    </row>
    <row r="201" spans="2:11" x14ac:dyDescent="0.2">
      <c r="B201" s="185">
        <f>(CritMsmin+CritMsmax)/2</f>
        <v>4</v>
      </c>
      <c r="C201" s="186">
        <f>MIN(CritCnmax,CritMsCnmax/B201)</f>
        <v>25</v>
      </c>
    </row>
    <row r="202" spans="2:11" x14ac:dyDescent="0.2">
      <c r="B202" s="187">
        <f>(CritMsmin+CritMsmax)/2</f>
        <v>4</v>
      </c>
      <c r="C202" s="188">
        <v>55</v>
      </c>
    </row>
    <row r="203" spans="2:11" x14ac:dyDescent="0.2">
      <c r="D203" s="474"/>
    </row>
    <row r="204" spans="2:11" x14ac:dyDescent="0.2">
      <c r="B204" s="476" t="s">
        <v>405</v>
      </c>
      <c r="C204" s="31" t="b">
        <f ca="1">(OR(C205:C210))</f>
        <v>1</v>
      </c>
      <c r="D204" s="474"/>
    </row>
    <row r="205" spans="2:11" x14ac:dyDescent="0.2">
      <c r="B205" s="475" t="s">
        <v>402</v>
      </c>
      <c r="C205" s="474" t="b">
        <f ca="1">AND(Type_propu="H2O",RIGHT(Type_fusee,1)=" ")</f>
        <v>0</v>
      </c>
      <c r="D205" s="474"/>
    </row>
    <row r="206" spans="2:11" x14ac:dyDescent="0.2">
      <c r="B206" s="475" t="s">
        <v>118</v>
      </c>
      <c r="C206" s="474" t="b">
        <f ca="1">AND(Type_propu="Fusex",RIGHT(Type_fusee,1)=".")</f>
        <v>1</v>
      </c>
      <c r="D206" s="474"/>
    </row>
    <row r="207" spans="2:11" x14ac:dyDescent="0.2">
      <c r="B207" s="475" t="s">
        <v>403</v>
      </c>
      <c r="C207" s="474" t="b">
        <f ca="1">LEFT(Type_propu,5)=LEFT(Type_fusee,5)</f>
        <v>0</v>
      </c>
      <c r="D207" s="474"/>
    </row>
    <row r="208" spans="2:11" x14ac:dyDescent="0.2">
      <c r="B208" s="475" t="s">
        <v>404</v>
      </c>
      <c r="C208" s="474" t="b">
        <f ca="1">AND(RIGHT(Type_propu,1)="N",LEFT(Type_fusee,4)="Mini")</f>
        <v>0</v>
      </c>
      <c r="D208" s="474"/>
    </row>
    <row r="209" spans="1:3" x14ac:dyDescent="0.2">
      <c r="B209" s="475" t="s">
        <v>406</v>
      </c>
      <c r="C209" s="474" t="b">
        <f ca="1">AND(LEFT(Type_propu,5)="MiniR",LEFT(Type_fusee,1)="R")</f>
        <v>0</v>
      </c>
    </row>
    <row r="210" spans="1:3" x14ac:dyDescent="0.2">
      <c r="B210" s="475" t="s">
        <v>396</v>
      </c>
      <c r="C210" s="474" t="b">
        <f ca="1">AND(LEFT(Type_propu,4)="Mini",LEFT(Type_fusee,1)=",")</f>
        <v>0</v>
      </c>
    </row>
    <row r="223" spans="1:3" x14ac:dyDescent="0.2">
      <c r="A223" s="24" t="s">
        <v>463</v>
      </c>
    </row>
    <row r="226" spans="1:1" x14ac:dyDescent="0.2">
      <c r="A226" s="24" t="s">
        <v>476</v>
      </c>
    </row>
    <row r="228" spans="1:1" x14ac:dyDescent="0.2">
      <c r="A228" s="24" t="s">
        <v>477</v>
      </c>
    </row>
    <row r="230" spans="1:1" x14ac:dyDescent="0.2">
      <c r="A230" s="24" t="s">
        <v>478</v>
      </c>
    </row>
    <row r="232" spans="1:1" x14ac:dyDescent="0.2">
      <c r="A232" s="24" t="s">
        <v>479</v>
      </c>
    </row>
    <row r="233" spans="1:1" x14ac:dyDescent="0.2">
      <c r="A233" s="24" t="s">
        <v>480</v>
      </c>
    </row>
    <row r="234" spans="1:1" x14ac:dyDescent="0.2">
      <c r="A234" s="24" t="s">
        <v>481</v>
      </c>
    </row>
    <row r="235" spans="1:1" x14ac:dyDescent="0.2">
      <c r="A235" s="24" t="s">
        <v>482</v>
      </c>
    </row>
    <row r="236" spans="1:1" x14ac:dyDescent="0.2">
      <c r="A236" s="24" t="s">
        <v>483</v>
      </c>
    </row>
    <row r="237" spans="1:1" x14ac:dyDescent="0.2">
      <c r="A237" s="24" t="s">
        <v>484</v>
      </c>
    </row>
    <row r="238" spans="1:1" x14ac:dyDescent="0.2">
      <c r="A238" s="24" t="s">
        <v>183</v>
      </c>
    </row>
    <row r="239" spans="1:1" x14ac:dyDescent="0.2">
      <c r="A239" s="24" t="s">
        <v>485</v>
      </c>
    </row>
    <row r="240" spans="1:1" x14ac:dyDescent="0.2">
      <c r="A240" s="24" t="s">
        <v>486</v>
      </c>
    </row>
    <row r="241" spans="1:1" x14ac:dyDescent="0.2">
      <c r="A241" s="24" t="s">
        <v>183</v>
      </c>
    </row>
    <row r="242" spans="1:1" x14ac:dyDescent="0.2">
      <c r="A242" s="24" t="s">
        <v>487</v>
      </c>
    </row>
    <row r="244" spans="1:1" x14ac:dyDescent="0.2">
      <c r="A244" s="24" t="s">
        <v>488</v>
      </c>
    </row>
    <row r="246" spans="1:1" x14ac:dyDescent="0.2">
      <c r="A246" s="24" t="s">
        <v>489</v>
      </c>
    </row>
    <row r="248" spans="1:1" x14ac:dyDescent="0.2">
      <c r="A248" s="24" t="s">
        <v>490</v>
      </c>
    </row>
    <row r="249" spans="1:1" x14ac:dyDescent="0.2">
      <c r="A249" s="24" t="s">
        <v>491</v>
      </c>
    </row>
    <row r="250" spans="1:1" x14ac:dyDescent="0.2">
      <c r="A250" s="24" t="s">
        <v>492</v>
      </c>
    </row>
    <row r="251" spans="1:1" x14ac:dyDescent="0.2">
      <c r="A251" s="24" t="s">
        <v>493</v>
      </c>
    </row>
    <row r="252" spans="1:1" x14ac:dyDescent="0.2">
      <c r="A252" s="24" t="s">
        <v>494</v>
      </c>
    </row>
    <row r="254" spans="1:1" x14ac:dyDescent="0.2">
      <c r="A254" s="24" t="s">
        <v>495</v>
      </c>
    </row>
    <row r="255" spans="1:1" x14ac:dyDescent="0.2">
      <c r="A255" s="24" t="s">
        <v>496</v>
      </c>
    </row>
    <row r="256" spans="1:1" x14ac:dyDescent="0.2">
      <c r="A256" s="24" t="s">
        <v>497</v>
      </c>
    </row>
    <row r="257" spans="1:1" x14ac:dyDescent="0.2">
      <c r="A257" s="24" t="s">
        <v>498</v>
      </c>
    </row>
    <row r="258" spans="1:1" x14ac:dyDescent="0.2">
      <c r="A258" s="24" t="s">
        <v>499</v>
      </c>
    </row>
    <row r="261" spans="1:1" x14ac:dyDescent="0.2">
      <c r="A261" s="24" t="s">
        <v>500</v>
      </c>
    </row>
    <row r="262" spans="1:1" x14ac:dyDescent="0.2">
      <c r="A262" s="24" t="s">
        <v>501</v>
      </c>
    </row>
    <row r="263" spans="1:1" x14ac:dyDescent="0.2">
      <c r="A263" s="24" t="s">
        <v>502</v>
      </c>
    </row>
    <row r="264" spans="1:1" x14ac:dyDescent="0.2">
      <c r="A264" s="24" t="s">
        <v>503</v>
      </c>
    </row>
    <row r="265" spans="1:1" x14ac:dyDescent="0.2">
      <c r="A265" s="24" t="s">
        <v>504</v>
      </c>
    </row>
    <row r="267" spans="1:1" x14ac:dyDescent="0.2">
      <c r="A267" s="24" t="s">
        <v>497</v>
      </c>
    </row>
    <row r="268" spans="1:1" x14ac:dyDescent="0.2">
      <c r="A268" s="24" t="s">
        <v>498</v>
      </c>
    </row>
    <row r="269" spans="1:1" x14ac:dyDescent="0.2">
      <c r="A269" s="24" t="s">
        <v>505</v>
      </c>
    </row>
    <row r="272" spans="1:1" x14ac:dyDescent="0.2">
      <c r="A272" s="24" t="s">
        <v>465</v>
      </c>
    </row>
    <row r="273" spans="1:1" x14ac:dyDescent="0.2">
      <c r="A273" s="24" t="s">
        <v>466</v>
      </c>
    </row>
    <row r="275" spans="1:1" x14ac:dyDescent="0.2">
      <c r="A275" s="24" t="s">
        <v>506</v>
      </c>
    </row>
    <row r="277" spans="1:1" x14ac:dyDescent="0.2">
      <c r="A277" s="24" t="s">
        <v>505</v>
      </c>
    </row>
    <row r="280" spans="1:1" x14ac:dyDescent="0.2">
      <c r="A280" s="24" t="s">
        <v>467</v>
      </c>
    </row>
    <row r="281" spans="1:1" x14ac:dyDescent="0.2">
      <c r="A281" s="24" t="s">
        <v>468</v>
      </c>
    </row>
    <row r="282" spans="1:1" x14ac:dyDescent="0.2">
      <c r="A282" s="24" t="s">
        <v>507</v>
      </c>
    </row>
    <row r="283" spans="1:1" x14ac:dyDescent="0.2">
      <c r="A283" s="24" t="s">
        <v>508</v>
      </c>
    </row>
    <row r="284" spans="1:1" x14ac:dyDescent="0.2">
      <c r="A284" s="24" t="s">
        <v>505</v>
      </c>
    </row>
    <row r="285" spans="1:1" x14ac:dyDescent="0.2">
      <c r="A285" s="24" t="s">
        <v>469</v>
      </c>
    </row>
    <row r="287" spans="1:1" x14ac:dyDescent="0.2">
      <c r="A287" s="24" t="s">
        <v>509</v>
      </c>
    </row>
    <row r="288" spans="1:1" x14ac:dyDescent="0.2">
      <c r="A288" s="24" t="s">
        <v>507</v>
      </c>
    </row>
    <row r="289" spans="1:1" x14ac:dyDescent="0.2">
      <c r="A289" s="24" t="s">
        <v>510</v>
      </c>
    </row>
    <row r="291" spans="1:1" x14ac:dyDescent="0.2">
      <c r="A291" s="24" t="s">
        <v>505</v>
      </c>
    </row>
    <row r="294" spans="1:1" x14ac:dyDescent="0.2">
      <c r="A294" s="24" t="s">
        <v>511</v>
      </c>
    </row>
    <row r="295" spans="1:1" x14ac:dyDescent="0.2">
      <c r="A295" s="24" t="s">
        <v>512</v>
      </c>
    </row>
    <row r="296" spans="1:1" x14ac:dyDescent="0.2">
      <c r="A296" s="24" t="s">
        <v>513</v>
      </c>
    </row>
    <row r="298" spans="1:1" x14ac:dyDescent="0.2">
      <c r="A298" s="24" t="s">
        <v>505</v>
      </c>
    </row>
    <row r="301" spans="1:1" x14ac:dyDescent="0.2">
      <c r="A301" s="24" t="s">
        <v>514</v>
      </c>
    </row>
    <row r="302" spans="1:1" x14ac:dyDescent="0.2">
      <c r="A302" s="24" t="s">
        <v>515</v>
      </c>
    </row>
    <row r="304" spans="1:1" x14ac:dyDescent="0.2">
      <c r="A304" s="24" t="s">
        <v>516</v>
      </c>
    </row>
    <row r="305" spans="1:1" x14ac:dyDescent="0.2">
      <c r="A305" s="24" t="s">
        <v>517</v>
      </c>
    </row>
    <row r="306" spans="1:1" x14ac:dyDescent="0.2">
      <c r="A306" s="24" t="s">
        <v>505</v>
      </c>
    </row>
    <row r="309" spans="1:1" x14ac:dyDescent="0.2">
      <c r="A309" s="24" t="s">
        <v>514</v>
      </c>
    </row>
    <row r="310" spans="1:1" x14ac:dyDescent="0.2">
      <c r="A310" s="24" t="s">
        <v>518</v>
      </c>
    </row>
    <row r="311" spans="1:1" x14ac:dyDescent="0.2">
      <c r="A311" s="24" t="s">
        <v>514</v>
      </c>
    </row>
    <row r="312" spans="1:1" x14ac:dyDescent="0.2">
      <c r="A312" s="24" t="s">
        <v>519</v>
      </c>
    </row>
    <row r="314" spans="1:1" x14ac:dyDescent="0.2">
      <c r="A314" s="24" t="s">
        <v>520</v>
      </c>
    </row>
    <row r="316" spans="1:1" x14ac:dyDescent="0.2">
      <c r="A316" s="24" t="s">
        <v>505</v>
      </c>
    </row>
    <row r="319" spans="1:1" x14ac:dyDescent="0.2">
      <c r="A319" s="24" t="s">
        <v>514</v>
      </c>
    </row>
    <row r="320" spans="1:1" x14ac:dyDescent="0.2">
      <c r="A320" s="24" t="s">
        <v>521</v>
      </c>
    </row>
    <row r="321" spans="1:1" x14ac:dyDescent="0.2">
      <c r="A321" s="24" t="s">
        <v>522</v>
      </c>
    </row>
    <row r="322" spans="1:1" x14ac:dyDescent="0.2">
      <c r="A322" s="24" t="s">
        <v>523</v>
      </c>
    </row>
    <row r="324" spans="1:1" x14ac:dyDescent="0.2">
      <c r="A324" s="24" t="s">
        <v>505</v>
      </c>
    </row>
    <row r="326" spans="1:1" x14ac:dyDescent="0.2">
      <c r="A326" s="24" t="s">
        <v>464</v>
      </c>
    </row>
    <row r="329" spans="1:1" x14ac:dyDescent="0.2">
      <c r="A329" s="24" t="s">
        <v>470</v>
      </c>
    </row>
    <row r="330" spans="1:1" x14ac:dyDescent="0.2">
      <c r="A330" s="24" t="s">
        <v>471</v>
      </c>
    </row>
    <row r="331" spans="1:1" x14ac:dyDescent="0.2">
      <c r="A331" s="24" t="s">
        <v>524</v>
      </c>
    </row>
    <row r="332" spans="1:1" x14ac:dyDescent="0.2">
      <c r="A332" s="24" t="s">
        <v>525</v>
      </c>
    </row>
    <row r="333" spans="1:1" x14ac:dyDescent="0.2">
      <c r="A333" s="24" t="s">
        <v>526</v>
      </c>
    </row>
    <row r="334" spans="1:1" x14ac:dyDescent="0.2">
      <c r="A334" s="24" t="s">
        <v>527</v>
      </c>
    </row>
    <row r="335" spans="1:1" x14ac:dyDescent="0.2">
      <c r="A335" s="24" t="s">
        <v>528</v>
      </c>
    </row>
    <row r="336" spans="1:1" x14ac:dyDescent="0.2">
      <c r="A336" s="24" t="s">
        <v>481</v>
      </c>
    </row>
    <row r="337" spans="1:1" x14ac:dyDescent="0.2">
      <c r="A337" s="24" t="s">
        <v>472</v>
      </c>
    </row>
    <row r="340" spans="1:1" x14ac:dyDescent="0.2">
      <c r="A340" s="24" t="s">
        <v>473</v>
      </c>
    </row>
    <row r="342" spans="1:1" x14ac:dyDescent="0.2">
      <c r="A342" s="24" t="s">
        <v>529</v>
      </c>
    </row>
    <row r="343" spans="1:1" x14ac:dyDescent="0.2">
      <c r="A343" s="24" t="s">
        <v>530</v>
      </c>
    </row>
    <row r="344" spans="1:1" x14ac:dyDescent="0.2">
      <c r="A344" s="24" t="s">
        <v>531</v>
      </c>
    </row>
    <row r="345" spans="1:1" x14ac:dyDescent="0.2">
      <c r="A345" s="24" t="s">
        <v>532</v>
      </c>
    </row>
    <row r="346" spans="1:1" x14ac:dyDescent="0.2">
      <c r="A346" s="24" t="s">
        <v>533</v>
      </c>
    </row>
    <row r="347" spans="1:1" x14ac:dyDescent="0.2">
      <c r="A347" s="24" t="s">
        <v>481</v>
      </c>
    </row>
    <row r="348" spans="1:1" x14ac:dyDescent="0.2">
      <c r="A348" s="24" t="s">
        <v>474</v>
      </c>
    </row>
    <row r="349" spans="1:1" x14ac:dyDescent="0.2">
      <c r="A349" s="24" t="s">
        <v>534</v>
      </c>
    </row>
    <row r="350" spans="1:1" x14ac:dyDescent="0.2">
      <c r="A350" s="24" t="s">
        <v>535</v>
      </c>
    </row>
    <row r="352" spans="1:1" x14ac:dyDescent="0.2">
      <c r="A352" s="24" t="s">
        <v>505</v>
      </c>
    </row>
    <row r="355" spans="1:1" x14ac:dyDescent="0.2">
      <c r="A355" s="24" t="s">
        <v>464</v>
      </c>
    </row>
    <row r="361" spans="1:1" x14ac:dyDescent="0.2">
      <c r="A361" s="24" t="s">
        <v>475</v>
      </c>
    </row>
  </sheetData>
  <dataConsolidate/>
  <mergeCells count="56">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 ref="C27:D27"/>
    <mergeCell ref="C19:D19"/>
    <mergeCell ref="C20:D20"/>
    <mergeCell ref="O23:P23"/>
    <mergeCell ref="O24:P24"/>
    <mergeCell ref="C23:D23"/>
    <mergeCell ref="C22:D22"/>
    <mergeCell ref="C24:D24"/>
    <mergeCell ref="C2:D3"/>
    <mergeCell ref="C4:D4"/>
    <mergeCell ref="M22:N22"/>
    <mergeCell ref="M19:N19"/>
    <mergeCell ref="M9:N9"/>
    <mergeCell ref="M7:N7"/>
    <mergeCell ref="M8:N8"/>
    <mergeCell ref="C7:D7"/>
    <mergeCell ref="C11:D11"/>
    <mergeCell ref="M5:N5"/>
    <mergeCell ref="M6:N6"/>
    <mergeCell ref="M20:N20"/>
    <mergeCell ref="N14:O14"/>
    <mergeCell ref="N15:O15"/>
    <mergeCell ref="M17:N17"/>
    <mergeCell ref="C15:D15"/>
    <mergeCell ref="C5:D5"/>
    <mergeCell ref="H26:I26"/>
    <mergeCell ref="C17:D17"/>
    <mergeCell ref="C18:D18"/>
    <mergeCell ref="O21:P21"/>
    <mergeCell ref="M21:N21"/>
    <mergeCell ref="O19:P19"/>
    <mergeCell ref="O22:P22"/>
    <mergeCell ref="C21:D21"/>
    <mergeCell ref="C6:D6"/>
    <mergeCell ref="C14:D14"/>
    <mergeCell ref="C8:D8"/>
    <mergeCell ref="C9:D9"/>
    <mergeCell ref="O20:P20"/>
    <mergeCell ref="M23:N23"/>
    <mergeCell ref="M24:N24"/>
  </mergeCells>
  <phoneticPr fontId="8" type="noConversion"/>
  <conditionalFormatting sqref="B15:D15 B35:C35">
    <cfRule type="expression" dxfId="53" priority="21" stopIfTrue="1">
      <formula>AND(IF(RIGHT(Nb_diam,1)=",",1),IF(LEFT(Type_masquage,1)="M",1))</formula>
    </cfRule>
  </conditionalFormatting>
  <conditionalFormatting sqref="C12">
    <cfRule type="cellIs" dxfId="52" priority="25" stopIfTrue="1" operator="equal">
      <formula>359</formula>
    </cfRule>
    <cfRule type="expression" dxfId="51" priority="28" stopIfTrue="1">
      <formula>OR(MasseSans&lt;MpropuVide, MasseSans&gt;20*MpropuPlein)</formula>
    </cfRule>
  </conditionalFormatting>
  <conditionalFormatting sqref="C13">
    <cfRule type="cellIs" dxfId="50" priority="24" stopIfTrue="1" operator="equal">
      <formula>639</formula>
    </cfRule>
  </conditionalFormatting>
  <conditionalFormatting sqref="C15 C35 C24:D24">
    <cfRule type="cellIs" dxfId="49" priority="37" stopIfTrue="1" operator="equal">
      <formula>59</formula>
    </cfRule>
  </conditionalFormatting>
  <conditionalFormatting sqref="C18">
    <cfRule type="expression" dxfId="48" priority="151" stopIfTrue="1">
      <formula>C204</formula>
    </cfRule>
  </conditionalFormatting>
  <conditionalFormatting sqref="C28 C30">
    <cfRule type="cellIs" dxfId="47" priority="18" stopIfTrue="1" operator="equal">
      <formula>109</formula>
    </cfRule>
  </conditionalFormatting>
  <conditionalFormatting sqref="C29">
    <cfRule type="cellIs" dxfId="46" priority="19" stopIfTrue="1" operator="equal">
      <formula>59</formula>
    </cfRule>
  </conditionalFormatting>
  <conditionalFormatting sqref="C31">
    <cfRule type="cellIs" dxfId="45" priority="20" stopIfTrue="1" operator="equal">
      <formula>99</formula>
    </cfRule>
  </conditionalFormatting>
  <conditionalFormatting sqref="C14:D14 C19 C34">
    <cfRule type="cellIs" dxfId="44" priority="23" stopIfTrue="1" operator="equal">
      <formula>1001</formula>
    </cfRule>
  </conditionalFormatting>
  <conditionalFormatting sqref="C23:D23">
    <cfRule type="cellIs" dxfId="43" priority="22" stopIfTrue="1" operator="equal">
      <formula>199</formula>
    </cfRule>
  </conditionalFormatting>
  <conditionalFormatting sqref="D10">
    <cfRule type="expression" dxfId="42" priority="1">
      <formula>NOT(OR((LEFT(Type_fusee,4)="Mini"),(RIGHT(Type_fusee,1)=".")))</formula>
    </cfRule>
  </conditionalFormatting>
  <conditionalFormatting sqref="D18">
    <cfRule type="expression" dxfId="41" priority="11" stopIfTrue="1">
      <formula>D202</formula>
    </cfRule>
  </conditionalFormatting>
  <conditionalFormatting sqref="H28">
    <cfRule type="expression" dxfId="40" priority="47" stopIfTrue="1">
      <formula>OR(Cn&lt;CritCnmin,Cn&gt;CritCnmax)</formula>
    </cfRule>
  </conditionalFormatting>
  <conditionalFormatting sqref="H29">
    <cfRule type="expression" dxfId="39" priority="46" stopIfTrue="1">
      <formula>OR(MS_min&lt;CritMsmin,MS_min&gt;CritMsmax)</formula>
    </cfRule>
  </conditionalFormatting>
  <conditionalFormatting sqref="H30">
    <cfRule type="expression" dxfId="38" priority="44" stopIfTrue="1">
      <formula>OR(MS_Cn_min&lt;CritMsCnmin,MS_Cn_min&gt;CritMsCnmax)</formula>
    </cfRule>
  </conditionalFormatting>
  <conditionalFormatting sqref="H27:I27">
    <cfRule type="expression" dxfId="37" priority="48" stopIfTrue="1">
      <formula>OR(Finesse&lt;CritFinessemin,Finesse&gt;CritFinessemax)</formula>
    </cfRule>
  </conditionalFormatting>
  <conditionalFormatting sqref="H33:I34">
    <cfRule type="expression" dxfId="36" priority="51" stopIfTrue="1">
      <formula>$H$33="STABLE"</formula>
    </cfRule>
  </conditionalFormatting>
  <conditionalFormatting sqref="I28">
    <cfRule type="expression" dxfId="35" priority="6" stopIfTrue="1">
      <formula>OR(Cn0&lt;CritCnmin,Cn0&gt;CritCnmax)</formula>
    </cfRule>
  </conditionalFormatting>
  <conditionalFormatting sqref="I29">
    <cfRule type="expression" dxfId="34" priority="45" stopIfTrue="1">
      <formula>OR(MS_max&lt;CritMsmin,MS_max&gt;CritMsmax)</formula>
    </cfRule>
  </conditionalFormatting>
  <conditionalFormatting sqref="I30">
    <cfRule type="expression" dxfId="33" priority="43" stopIfTrue="1">
      <formula>OR(MS_Cn_max&lt;CritMsCnmin,MS_Cn_max&gt;CritMsCnmax)</formula>
    </cfRule>
  </conditionalFormatting>
  <conditionalFormatting sqref="L39:M39">
    <cfRule type="expression" dxfId="32" priority="239" stopIfTrue="1">
      <formula>OR(SUM($C$28:$C$33)=273, $H$33&lt;&gt;"STABLE")</formula>
    </cfRule>
  </conditionalFormatting>
  <conditionalFormatting sqref="L6:P9">
    <cfRule type="expression" dxfId="31" priority="49" stopIfTrue="1">
      <formula>IF(RIGHT(Nb_diam,1)=",",1)</formula>
    </cfRule>
  </conditionalFormatting>
  <conditionalFormatting sqref="L20:P22 E25 D26 E27:E35 D28:D35 B36:E36">
    <cfRule type="expression" dxfId="30" priority="84" stopIfTrue="1">
      <formula>IF(LEFT(Type_masquage,1)="M",1)</formula>
    </cfRule>
  </conditionalFormatting>
  <conditionalFormatting sqref="L23:P24">
    <cfRule type="expression" dxfId="29" priority="65" stopIfTrue="1">
      <formula>IF(RIGHT(Nb_diam,1)=",",1)</formula>
    </cfRule>
  </conditionalFormatting>
  <conditionalFormatting sqref="M37 O37">
    <cfRule type="expression" dxfId="28" priority="142" stopIfTrue="1">
      <formula>$M$37="propu NOK"</formula>
    </cfRule>
  </conditionalFormatting>
  <conditionalFormatting sqref="M5:P5">
    <cfRule type="expression" dxfId="27" priority="39" stopIfTrue="1">
      <formula>IF(RIGHT(Nb_diam,1)=",",1)</formula>
    </cfRule>
  </conditionalFormatting>
  <conditionalFormatting sqref="N37">
    <cfRule type="expression" dxfId="26" priority="27" stopIfTrue="1">
      <formula>(ROUND(SUM(C2:D35),0)=5694)</formula>
    </cfRule>
  </conditionalFormatting>
  <dataValidations count="13">
    <dataValidation type="whole" allowBlank="1" showInputMessage="1" showErrorMessage="1" error="Tapez un entier entre 3 et 6." sqref="C33:D33" xr:uid="{00000000-0002-0000-0000-000000000000}">
      <formula1>3</formula1>
      <formula2>6</formula2>
    </dataValidation>
    <dataValidation type="decimal" operator="notEqual" allowBlank="1" showInputMessage="1" showErrorMessage="1" error="Tapez uniquement la longueur, sans l'unité." sqref="C30:D30" xr:uid="{00000000-0002-0000-0000-000001000000}">
      <formula1>1E+100</formula1>
    </dataValidation>
    <dataValidation type="decimal" operator="greaterThanOrEqual" allowBlank="1" showInputMessage="1" showErrorMessage="1" error="Tapez uniquement la longueur, sans l'unité." sqref="C28:D29 C34:D35 C31:D32 M6:O9" xr:uid="{00000000-0002-0000-0000-000002000000}">
      <formula1>0</formula1>
    </dataValidation>
    <dataValidation type="list" showInputMessage="1" showErrorMessage="1" sqref="C27:D27" xr:uid="{00000000-0002-0000-0000-000003000000}">
      <formula1>Menu_Empennage</formula1>
    </dataValidation>
    <dataValidation type="list" showInputMessage="1" showErrorMessage="1" sqref="C18:D18"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2" xr:uid="{00000000-0002-0000-0000-000006000000}">
      <formula1>0</formula1>
      <formula2>50000</formula2>
    </dataValidation>
    <dataValidation type="decimal" operator="greaterThan" showInputMessage="1" showErrorMessage="1" error="Tapez uniquement la longueur, sans l'unité." sqref="C13 C14:D14 C23:D24" xr:uid="{00000000-0002-0000-0000-000007000000}">
      <formula1>0</formula1>
    </dataValidation>
    <dataValidation type="list" showInputMessage="1" showErrorMessage="1" sqref="D12:D13" xr:uid="{00000000-0002-0000-0000-000008000000}">
      <formula1>Menu_with_motor</formula1>
    </dataValidation>
    <dataValidation type="list" showInputMessage="1" showErrorMessage="1" sqref="C11:D11" xr:uid="{00000000-0002-0000-0000-000009000000}">
      <formula1>Menu_Type</formula1>
    </dataValidation>
    <dataValidation type="decimal" operator="greaterThan" allowBlank="1" showInputMessage="1" showErrorMessage="1" error="Tapez uniquement la longueur, sans l'unité." sqref="C19" xr:uid="{00000000-0002-0000-0000-00000A000000}">
      <formula1>0</formula1>
    </dataValidation>
    <dataValidation type="list" showInputMessage="1" showErrorMessage="1" sqref="C22:D22" xr:uid="{00000000-0002-0000-0000-00000B000000}">
      <formula1>Menu_Ogive</formula1>
    </dataValidation>
    <dataValidation type="list" showInputMessage="1" showErrorMessage="1" sqref="M4" xr:uid="{00000000-0002-0000-0000-00000C000000}">
      <formula1>Menu_Transitions</formula1>
    </dataValidation>
  </dataValidations>
  <hyperlinks>
    <hyperlink ref="M39"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752475</xdr:colOff>
                    <xdr:row>22</xdr:row>
                    <xdr:rowOff>0</xdr:rowOff>
                  </from>
                  <to>
                    <xdr:col>3</xdr:col>
                    <xdr:colOff>895350</xdr:colOff>
                    <xdr:row>23</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752475</xdr:colOff>
                    <xdr:row>11</xdr:row>
                    <xdr:rowOff>0</xdr:rowOff>
                  </from>
                  <to>
                    <xdr:col>2</xdr:col>
                    <xdr:colOff>895350</xdr:colOff>
                    <xdr:row>12</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752475</xdr:colOff>
                    <xdr:row>12</xdr:row>
                    <xdr:rowOff>0</xdr:rowOff>
                  </from>
                  <to>
                    <xdr:col>2</xdr:col>
                    <xdr:colOff>895350</xdr:colOff>
                    <xdr:row>13</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752475</xdr:colOff>
                    <xdr:row>22</xdr:row>
                    <xdr:rowOff>161925</xdr:rowOff>
                  </from>
                  <to>
                    <xdr:col>3</xdr:col>
                    <xdr:colOff>895350</xdr:colOff>
                    <xdr:row>24</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752475</xdr:colOff>
                    <xdr:row>27</xdr:row>
                    <xdr:rowOff>0</xdr:rowOff>
                  </from>
                  <to>
                    <xdr:col>3</xdr:col>
                    <xdr:colOff>0</xdr:colOff>
                    <xdr:row>28</xdr:row>
                    <xdr:rowOff>9525</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752475</xdr:colOff>
                    <xdr:row>28</xdr:row>
                    <xdr:rowOff>0</xdr:rowOff>
                  </from>
                  <to>
                    <xdr:col>3</xdr:col>
                    <xdr:colOff>0</xdr:colOff>
                    <xdr:row>29</xdr:row>
                    <xdr:rowOff>9525</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752475</xdr:colOff>
                    <xdr:row>28</xdr:row>
                    <xdr:rowOff>161925</xdr:rowOff>
                  </from>
                  <to>
                    <xdr:col>3</xdr:col>
                    <xdr:colOff>0</xdr:colOff>
                    <xdr:row>30</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752475</xdr:colOff>
                    <xdr:row>30</xdr:row>
                    <xdr:rowOff>0</xdr:rowOff>
                  </from>
                  <to>
                    <xdr:col>3</xdr:col>
                    <xdr:colOff>0</xdr:colOff>
                    <xdr:row>30</xdr:row>
                    <xdr:rowOff>161925</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752475</xdr:colOff>
                    <xdr:row>31</xdr:row>
                    <xdr:rowOff>0</xdr:rowOff>
                  </from>
                  <to>
                    <xdr:col>2</xdr:col>
                    <xdr:colOff>895350</xdr:colOff>
                    <xdr:row>32</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752475</xdr:colOff>
                    <xdr:row>32</xdr:row>
                    <xdr:rowOff>0</xdr:rowOff>
                  </from>
                  <to>
                    <xdr:col>3</xdr:col>
                    <xdr:colOff>0</xdr:colOff>
                    <xdr:row>33</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752475</xdr:colOff>
                    <xdr:row>12</xdr:row>
                    <xdr:rowOff>161925</xdr:rowOff>
                  </from>
                  <to>
                    <xdr:col>4</xdr:col>
                    <xdr:colOff>0</xdr:colOff>
                    <xdr:row>13</xdr:row>
                    <xdr:rowOff>161925</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201"/>
  <sheetViews>
    <sheetView showGridLines="0" topLeftCell="A10" zoomScaleNormal="100" workbookViewId="0">
      <selection activeCell="F31" sqref="F31"/>
    </sheetView>
  </sheetViews>
  <sheetFormatPr baseColWidth="10" defaultColWidth="11.42578125" defaultRowHeight="12.75" x14ac:dyDescent="0.2"/>
  <cols>
    <col min="1" max="1" width="2.140625" style="1" customWidth="1"/>
    <col min="2" max="2" width="16.140625" style="1" customWidth="1"/>
    <col min="3" max="4" width="12.85546875" style="1" customWidth="1"/>
    <col min="5" max="5" width="2.85546875" style="1" customWidth="1"/>
    <col min="6" max="7" width="12.85546875" style="1" customWidth="1"/>
    <col min="8" max="13" width="10.85546875" style="1" customWidth="1"/>
    <col min="14" max="15" width="2.140625" style="1" customWidth="1"/>
    <col min="16" max="17" width="14.140625" style="1" customWidth="1"/>
    <col min="18" max="16384" width="11.42578125" style="1"/>
  </cols>
  <sheetData>
    <row r="1" spans="1:14" x14ac:dyDescent="0.2">
      <c r="A1" s="51"/>
      <c r="B1" s="52"/>
      <c r="C1" s="53"/>
      <c r="D1" s="52"/>
      <c r="E1" s="54"/>
      <c r="F1" s="54"/>
      <c r="G1" s="54"/>
      <c r="H1" s="54"/>
      <c r="I1" s="54"/>
      <c r="J1" s="54"/>
      <c r="K1" s="54"/>
      <c r="L1" s="54"/>
      <c r="M1" s="54"/>
      <c r="N1" s="55"/>
    </row>
    <row r="2" spans="1:14" ht="12.75" customHeight="1" x14ac:dyDescent="0.2">
      <c r="A2" s="56"/>
      <c r="B2" s="2"/>
      <c r="C2" s="632" t="s">
        <v>0</v>
      </c>
      <c r="D2" s="632"/>
      <c r="F2" s="3"/>
      <c r="J2" s="4"/>
      <c r="N2" s="57"/>
    </row>
    <row r="3" spans="1:14" ht="12.75" customHeight="1" x14ac:dyDescent="0.2">
      <c r="A3" s="56"/>
      <c r="B3" s="2"/>
      <c r="C3" s="632"/>
      <c r="D3" s="632"/>
      <c r="H3" s="5"/>
      <c r="J3" s="4"/>
      <c r="N3" s="57"/>
    </row>
    <row r="4" spans="1:14" ht="12.75" customHeight="1" x14ac:dyDescent="0.2">
      <c r="A4" s="56"/>
      <c r="B4" s="2"/>
      <c r="C4" s="636" t="str">
        <f>IF(Lang="Français","Trajectographie de fusée",IF(Lang="English","Rocket Trajectography",""))</f>
        <v>Trajectographie de fusée</v>
      </c>
      <c r="D4" s="636"/>
      <c r="H4" s="5"/>
      <c r="J4" s="4"/>
      <c r="N4" s="57"/>
    </row>
    <row r="5" spans="1:14" ht="12.75" customHeight="1" x14ac:dyDescent="0.2">
      <c r="A5" s="56"/>
      <c r="B5" s="2"/>
      <c r="C5" s="631"/>
      <c r="D5" s="631"/>
      <c r="J5" s="4"/>
      <c r="N5" s="57"/>
    </row>
    <row r="6" spans="1:14" ht="12.95" customHeight="1" x14ac:dyDescent="0.2">
      <c r="A6" s="56"/>
      <c r="B6" s="87"/>
      <c r="C6" s="635" t="str">
        <f>IF(Lang="Français","Remplir les cases jaunes",IF(Lang="English","Fill-in yellow cells only",""))</f>
        <v>Remplir les cases jaunes</v>
      </c>
      <c r="D6" s="635"/>
      <c r="J6" s="4"/>
      <c r="N6" s="57"/>
    </row>
    <row r="7" spans="1:14" x14ac:dyDescent="0.2">
      <c r="A7" s="56"/>
      <c r="B7" s="6"/>
      <c r="C7" s="612" t="str">
        <f>IF(Lang="Français","Fusée",IF(Lang="English","Rocket",""))</f>
        <v>Fusée</v>
      </c>
      <c r="D7" s="612"/>
      <c r="N7" s="58"/>
    </row>
    <row r="8" spans="1:14" ht="12.75" customHeight="1" x14ac:dyDescent="0.25">
      <c r="A8" s="56"/>
      <c r="B8" s="140" t="str">
        <f>IF(Lang="Français","Nom",IF(Lang="English","Name",""))</f>
        <v>Nom</v>
      </c>
      <c r="C8" s="633" t="str">
        <f>Nom</f>
        <v>SP02</v>
      </c>
      <c r="D8" s="633"/>
      <c r="E8" s="5"/>
      <c r="F8" s="5"/>
      <c r="J8" s="4"/>
      <c r="N8" s="57"/>
    </row>
    <row r="9" spans="1:14" ht="12.75" customHeight="1" x14ac:dyDescent="0.25">
      <c r="A9" s="59"/>
      <c r="B9" s="140" t="s">
        <v>4</v>
      </c>
      <c r="C9" s="634" t="str">
        <f>Club</f>
        <v>L'AéroIPSA</v>
      </c>
      <c r="D9" s="634"/>
      <c r="F9" s="5"/>
      <c r="N9" s="58"/>
    </row>
    <row r="10" spans="1:14" ht="12.75" customHeight="1" x14ac:dyDescent="0.25">
      <c r="A10" s="59"/>
      <c r="B10" s="141" t="s">
        <v>563</v>
      </c>
      <c r="C10" s="630" t="str">
        <f>Matricule</f>
        <v>FX0</v>
      </c>
      <c r="D10" s="630"/>
      <c r="F10" s="5"/>
      <c r="N10" s="58"/>
    </row>
    <row r="11" spans="1:14" ht="12.75" customHeight="1" x14ac:dyDescent="0.2">
      <c r="A11" s="59"/>
      <c r="B11" s="140" t="str">
        <f>IF(Lang="Français","Masse totale",IF(Lang="English","Total Mass",""))</f>
        <v>Masse totale</v>
      </c>
      <c r="C11" s="607">
        <f ca="1">MassePlein</f>
        <v>8.9589999999999996</v>
      </c>
      <c r="D11" s="607"/>
      <c r="F11" s="5"/>
      <c r="N11" s="58"/>
    </row>
    <row r="12" spans="1:14" ht="12.75" customHeight="1" x14ac:dyDescent="0.2">
      <c r="A12" s="59"/>
      <c r="B12" s="227" t="str">
        <f>IF(Lang="Français","Propulseur",IF(Lang="English","Motor",""))</f>
        <v>Propulseur</v>
      </c>
      <c r="C12" s="610" t="str">
        <f>Propu</f>
        <v>Pro54-5G WT</v>
      </c>
      <c r="D12" s="611"/>
      <c r="F12" s="5"/>
      <c r="N12" s="58"/>
    </row>
    <row r="13" spans="1:14" ht="12.75" customHeight="1" x14ac:dyDescent="0.2">
      <c r="A13" s="59"/>
      <c r="N13" s="58"/>
    </row>
    <row r="14" spans="1:14" ht="12.75" customHeight="1" x14ac:dyDescent="0.2">
      <c r="A14" s="59"/>
      <c r="B14"/>
      <c r="C14" s="612" t="str">
        <f>IF(Lang="Français","Traînée Aérdynamique",IF(Lang="English","Drag",""))</f>
        <v>Traînée Aérdynamique</v>
      </c>
      <c r="D14" s="612"/>
      <c r="N14" s="58"/>
    </row>
    <row r="15" spans="1:14" ht="12.75" customHeight="1" x14ac:dyDescent="0.2">
      <c r="A15" s="59"/>
      <c r="B15" s="140" t="s">
        <v>40</v>
      </c>
      <c r="C15" s="613">
        <f>(PI()*D_ref^2/4+E_ail*ep_ail*Q_ail)/10^6</f>
        <v>9.4376873994583919E-3</v>
      </c>
      <c r="D15" s="613"/>
      <c r="N15" s="58"/>
    </row>
    <row r="16" spans="1:14" ht="12.75" customHeight="1" x14ac:dyDescent="0.2">
      <c r="A16" s="59"/>
      <c r="B16" s="141" t="s">
        <v>5</v>
      </c>
      <c r="C16" s="605">
        <v>0.7</v>
      </c>
      <c r="D16" s="606"/>
      <c r="N16" s="58"/>
    </row>
    <row r="17" spans="1:18" ht="12.75" customHeight="1" x14ac:dyDescent="0.2">
      <c r="A17" s="59"/>
      <c r="N17" s="58"/>
    </row>
    <row r="18" spans="1:18" ht="12.75" customHeight="1" x14ac:dyDescent="0.2">
      <c r="A18" s="59"/>
      <c r="B18"/>
      <c r="C18" s="612" t="str">
        <f>IF(Lang="Français","Rampe de Lancement",IF(Lang="English","Launch Pad",""))</f>
        <v>Rampe de Lancement</v>
      </c>
      <c r="D18" s="612"/>
      <c r="N18" s="58"/>
    </row>
    <row r="19" spans="1:18" ht="12.75" customHeight="1" x14ac:dyDescent="0.2">
      <c r="A19" s="59"/>
      <c r="B19" s="140" t="str">
        <f>IF(Lang="Français","Longueur",IF(Lang="English","Length",""))</f>
        <v>Longueur</v>
      </c>
      <c r="C19" s="609">
        <f>IF(RIGHT(Type_fusee,1)=".",4, IF(LEFT(Type_fusee,4)="Mini",2.5, IF(LEFT(Type_fusee,5)="Micro",1, IF(RIGHT(Type_fusee,1)=" ",0.1,IF(LEFT(Type_fusee,1)="R",3, 2.5)))))</f>
        <v>4</v>
      </c>
      <c r="D19" s="609"/>
      <c r="N19" s="58"/>
    </row>
    <row r="20" spans="1:18" ht="12.75" customHeight="1" x14ac:dyDescent="0.2">
      <c r="A20" s="59"/>
      <c r="B20" s="140" t="str">
        <f>IF(Lang="Français","Élévation",IF(Lang="English","Angle /horizon",""))</f>
        <v>Élévation</v>
      </c>
      <c r="C20" s="608">
        <v>80</v>
      </c>
      <c r="D20" s="608"/>
      <c r="N20" s="58"/>
    </row>
    <row r="21" spans="1:18" ht="12.75" customHeight="1" x14ac:dyDescent="0.2">
      <c r="A21" s="59"/>
      <c r="B21" s="140" t="s">
        <v>6</v>
      </c>
      <c r="C21" s="609">
        <v>0</v>
      </c>
      <c r="D21" s="609"/>
      <c r="N21" s="58"/>
    </row>
    <row r="22" spans="1:18" x14ac:dyDescent="0.2">
      <c r="A22" s="59"/>
      <c r="F22" s="384" t="str">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N22" s="58"/>
    </row>
    <row r="23" spans="1:18" x14ac:dyDescent="0.2">
      <c r="A23" s="59"/>
      <c r="C23" s="614" t="str">
        <f>IF(Lang="Français","DescenteSousParachute",IF(Lang="English","Over Parachute",""))</f>
        <v>DescenteSousParachute</v>
      </c>
      <c r="D23" s="615"/>
      <c r="F23" s="4"/>
      <c r="G23" s="50">
        <f ca="1">TODAY()</f>
        <v>45957</v>
      </c>
      <c r="H23" s="489" t="str">
        <f>IF(Lang="Français","Temps",IF(Lang="English","Time",""))</f>
        <v>Temps</v>
      </c>
      <c r="I23" s="489" t="s">
        <v>12</v>
      </c>
      <c r="J23" s="489" t="str">
        <f>IF(Lang="Français","Portée x",IF(Lang="English","Range x",""))</f>
        <v>Portée x</v>
      </c>
      <c r="K23" s="489" t="str">
        <f>IF(Lang="Français","Vitesse",IF(Lang="English","Velocity",""))</f>
        <v>Vitesse</v>
      </c>
      <c r="L23" s="490" t="s">
        <v>13</v>
      </c>
      <c r="M23" s="499" t="s">
        <v>421</v>
      </c>
      <c r="N23" s="58"/>
    </row>
    <row r="24" spans="1:18" x14ac:dyDescent="0.2">
      <c r="A24" s="59"/>
      <c r="B24"/>
      <c r="C24" s="142" t="str">
        <f>C7</f>
        <v>Fusée</v>
      </c>
      <c r="D24" s="220" t="s">
        <v>121</v>
      </c>
      <c r="E24" s="18" t="str">
        <f>IF(ABS(T_satellite-0.11-T_para)&lt;0.1,"Pb!","")</f>
        <v/>
      </c>
      <c r="F24" s="616" t="str">
        <f>IF(Lang="Français","Sortie de Rampe",IF(Lang="English","Launch-Pad Exit",""))</f>
        <v>Sortie de Rampe</v>
      </c>
      <c r="G24" s="617"/>
      <c r="H24" s="491"/>
      <c r="I24" s="491"/>
      <c r="J24" s="491"/>
      <c r="K24" s="492">
        <f ca="1">INDEX(vit_xz,MATCH("Sortie de rampe",Event,0))</f>
        <v>32.345304715177136</v>
      </c>
      <c r="L24" s="493"/>
      <c r="M24" s="500"/>
      <c r="N24" s="58"/>
    </row>
    <row r="25" spans="1:18" x14ac:dyDescent="0.2">
      <c r="A25" s="59"/>
      <c r="B25" s="466" t="str">
        <f>IF(Lang="Français","Masse",IF(Lang="English","Mass",""))</f>
        <v>Masse</v>
      </c>
      <c r="C25" s="467">
        <f ca="1">IF(Nb_sat="0 satellite",MasseVide,MasseVide-m_satellite)</f>
        <v>6.9770000000000003</v>
      </c>
      <c r="D25" s="480">
        <f>IF(RIGHT(Type_fusee,1)=".",1,0.15)</f>
        <v>1</v>
      </c>
      <c r="F25" s="619" t="str">
        <f>IF(Lang="Français","Vit max &amp; Acc max",IF(Lang="English","Max Velocity &amp; Acc",""))</f>
        <v>Vit max &amp; Acc max</v>
      </c>
      <c r="G25" s="599"/>
      <c r="H25" s="115"/>
      <c r="I25" s="115"/>
      <c r="J25" s="115"/>
      <c r="K25" s="158">
        <f ca="1">MAX(vit_xz)</f>
        <v>206.43268487323053</v>
      </c>
      <c r="L25" s="494">
        <f ca="1">MAX(acc_xz)</f>
        <v>141.97325984625601</v>
      </c>
      <c r="M25" s="500"/>
      <c r="N25" s="58"/>
    </row>
    <row r="26" spans="1:18" x14ac:dyDescent="0.2">
      <c r="A26" s="59"/>
      <c r="B26" s="469" t="str">
        <f>IF(Lang="Français","Dépotage",IF(Lang="English","Delay",""))</f>
        <v>Dépotage</v>
      </c>
      <c r="C26" s="505" t="s">
        <v>407</v>
      </c>
      <c r="D26" s="535"/>
      <c r="F26" s="620" t="str">
        <f>IF(Lang="Français","Largage du satellite",IF(Lang="English","Satellite separation",""))</f>
        <v>Largage du satellite</v>
      </c>
      <c r="G26" s="601"/>
      <c r="H26" s="152">
        <f>IF(T_satellite&lt;&gt;0,T_satellite,"")</f>
        <v>3.2</v>
      </c>
      <c r="I26" s="156">
        <f ca="1">IF(T_satellite&lt;&gt;0,INDEX(pos_z,MATCH("Satellite",Event_sat,0)),"")</f>
        <v>460.25468107637266</v>
      </c>
      <c r="J26" s="154">
        <f ca="1">IF(T_satellite&lt;&gt;0,INDEX(pos_x,MATCH("Satellite",Event_sat,0)),"")</f>
        <v>93.980367732913194</v>
      </c>
      <c r="K26" s="159">
        <f ca="1">IF(T_satellite&lt;&gt;0,INDEX(vit_xz,MATCH("Satellite",Event_sat,0)),"")</f>
        <v>165.96393404501717</v>
      </c>
      <c r="L26" s="495"/>
      <c r="M26" s="485">
        <f ca="1">1/2*Rho_moyen*1*V_ouv_sat^2*S_satellite</f>
        <v>1687.0716784765523</v>
      </c>
      <c r="N26" s="58"/>
    </row>
    <row r="27" spans="1:18" x14ac:dyDescent="0.2">
      <c r="A27" s="59"/>
      <c r="B27" s="468" t="str">
        <f>IF(Lang="Français","Ouverture para",IF(Lang="English","Opening time",""))</f>
        <v>Ouverture para</v>
      </c>
      <c r="C27" s="507">
        <v>15.6</v>
      </c>
      <c r="D27" s="507">
        <v>3.2</v>
      </c>
      <c r="F27" s="619" t="s">
        <v>15</v>
      </c>
      <c r="G27" s="599"/>
      <c r="H27" s="153">
        <f ca="1">INDEX(t,MATCH("Apogée",Event,0))</f>
        <v>15.399999999999963</v>
      </c>
      <c r="I27" s="157">
        <f ca="1">INDEX(pos_z,MATCH("Apogée",Event,0))</f>
        <v>1311.9887558152445</v>
      </c>
      <c r="J27" s="155">
        <f ca="1">INDEX(pos_x,MATCH("Apogée",Event,0))</f>
        <v>421.9129981473655</v>
      </c>
      <c r="K27" s="160">
        <f ca="1">INDEX(vit_xz,MATCH("Apogée",Event,0))</f>
        <v>22.983048421418513</v>
      </c>
      <c r="L27" s="496"/>
      <c r="M27" s="500"/>
      <c r="N27" s="58"/>
    </row>
    <row r="28" spans="1:18" x14ac:dyDescent="0.2">
      <c r="A28" s="59"/>
      <c r="B28" s="534" t="s">
        <v>558</v>
      </c>
      <c r="C28" s="507" t="s">
        <v>560</v>
      </c>
      <c r="D28" s="507"/>
      <c r="F28" s="618" t="str">
        <f>IF(Lang="Français","Ouverture parachute fusée",IF(Lang="English","Rocket parachute opening",""))</f>
        <v>Ouverture parachute fusée</v>
      </c>
      <c r="G28" s="604"/>
      <c r="H28" s="152">
        <f>T_para</f>
        <v>15.6</v>
      </c>
      <c r="I28" s="156">
        <f ca="1">INDEX(pos_z,MATCH("Para",Event_para,0))</f>
        <v>1311.886954100929</v>
      </c>
      <c r="J28" s="486">
        <f ca="1">INDEX(pos_x,MATCH("Para",Event_para,0))</f>
        <v>426.50394172374166</v>
      </c>
      <c r="K28" s="159">
        <f ca="1">INDEX(vit_xz,MATCH("Para",Event_para,0))</f>
        <v>22.979602555347913</v>
      </c>
      <c r="L28" s="495"/>
      <c r="M28" s="485">
        <f ca="1">1/2*Rho_moyen*1*V_ouverture^2*S_para</f>
        <v>155.41198630733072</v>
      </c>
      <c r="N28" s="58"/>
      <c r="P28" s="384" t="str">
        <f ca="1">IF(V_para&lt;5, IF(Lang="Français","Parachute fusée trop grand !","Parachute too big!"), IF( V_para&gt;15, IF(Lang="Français","Parachute fusée trop petit !","Parachute too small!"), ""))</f>
        <v>Parachute fusée trop petit !</v>
      </c>
      <c r="R28" s="384" t="str">
        <f>IF(AND(Nb_sat="1 satellite", OR(V_satellite&lt;5)), IF(Lang="Français","Parachute satéllite trop grand !","Parachute too big"), IF(AND(Nb_sat="1 satellite",OR(V_satellite&gt;15)), IF(Lang="Français","Parachute satéllite trop petit !","Parachute too small!"), ""))</f>
        <v/>
      </c>
    </row>
    <row r="29" spans="1:18" x14ac:dyDescent="0.2">
      <c r="A29" s="59"/>
      <c r="B29" s="141" t="s">
        <v>9</v>
      </c>
      <c r="C29" s="225">
        <f>IF(C28="rond",S_para_rond,IF(C28="Croix",S_para_croix,0.5))</f>
        <v>0.48049999999999998</v>
      </c>
      <c r="D29" s="17">
        <f>IF(RIGHT(Type_fusee,1)=".",0.1,0.02)</f>
        <v>0.1</v>
      </c>
      <c r="F29" s="623" t="str">
        <f>IF(Lang="Français","Impact balistique",IF(Lang="English","Balistic Impact",""))</f>
        <v>Impact balistique</v>
      </c>
      <c r="G29" s="624"/>
      <c r="H29" s="497">
        <f ca="1">INDEX(t,MATCH("Impact balistique",Event,0))</f>
        <v>33.600000000000207</v>
      </c>
      <c r="I29" s="517" t="s">
        <v>428</v>
      </c>
      <c r="J29" s="487">
        <f ca="1">INDEX(pos_x,MATCH("Impact balistique",Event,0))</f>
        <v>755.70453742140728</v>
      </c>
      <c r="K29" s="501">
        <f ca="1">K47</f>
        <v>120.88711662184053</v>
      </c>
      <c r="L29" s="498"/>
      <c r="M29" s="502">
        <f ca="1">0.5*m_vide*K29^2</f>
        <v>50979.874885899517</v>
      </c>
      <c r="N29" s="58"/>
      <c r="P29" s="384" t="str">
        <f ca="1">IF( OR( V_para&lt;5, V_para&gt;15, AND(Nb_sat="1 satellite", OR(V_satellite&lt;5, V_satellite&gt;15))), IF(Lang="Français","La Vitesse de descente sous parachute doit être comprise entre 5 &amp; 15 m/s.","Fall Velocity with parachute must be between 5 &amp; 15 m/s."), "")</f>
        <v>La Vitesse de descente sous parachute doit être comprise entre 5 &amp; 15 m/s.</v>
      </c>
    </row>
    <row r="30" spans="1:18" x14ac:dyDescent="0.2">
      <c r="A30" s="59"/>
      <c r="B30" s="141" t="s">
        <v>10</v>
      </c>
      <c r="C30" s="143">
        <v>1</v>
      </c>
      <c r="D30" s="143">
        <v>1</v>
      </c>
      <c r="E30" s="18" t="str">
        <f>IF(AND(T_satellite=0,m_satellite&lt;&gt;0),"Erreur !","")</f>
        <v/>
      </c>
      <c r="G30" s="483"/>
      <c r="H30" s="484"/>
      <c r="I30" s="488"/>
      <c r="N30" s="58"/>
      <c r="P30" s="384" t="str">
        <f ca="1">IF(AND(Portee_balistique&gt;200,LEFT(Type_propu,4)="Mini"),IF(Lang="Français","Fusée trop lègère !","Rocket too light"),"")</f>
        <v/>
      </c>
    </row>
    <row r="31" spans="1:18" x14ac:dyDescent="0.2">
      <c r="A31" s="59"/>
      <c r="B31" s="141" t="str">
        <f>IF(Lang="Français","Vitesse du vent",IF(Lang="English","Wind speed",""))</f>
        <v>Vitesse du vent</v>
      </c>
      <c r="C31" s="144">
        <v>5</v>
      </c>
      <c r="D31" s="144">
        <f>V_vent</f>
        <v>5</v>
      </c>
      <c r="G31" s="483"/>
      <c r="H31" s="484"/>
      <c r="I31" s="488"/>
      <c r="N31" s="58"/>
      <c r="P31" s="384" t="str">
        <f ca="1">IF(OR(AND(Vsortie_de_rampe&lt;20,LEFT(Type_fusee,1)="F"),AND(Vsortie_de_rampe&lt;18, OR(LEFT(Type_fusee,1)=",",LEFT(Type_fusee,4)="Mini",LEFT(Type_fusee,1)="R"))),IF(Lang="Français","Fusée trop lourde ou rampe trop courte !","Rocket too heavy or launch pad too small!"),"")</f>
        <v/>
      </c>
    </row>
    <row r="32" spans="1:18" x14ac:dyDescent="0.2">
      <c r="A32" s="59"/>
      <c r="B32" s="133" t="str">
        <f>IF(Lang="Français","Vitesse descente",IF(Lang="English","Fall velocity",""))</f>
        <v>Vitesse descente</v>
      </c>
      <c r="C32" s="424">
        <f ca="1">SQRT(2*m_vide*g/Rho_moyen/S_para/Cx_para)</f>
        <v>15.249974681685652</v>
      </c>
      <c r="D32" s="424">
        <f>SQRT(2*m_satellite*g/Rho_moyen/S_satellite/Cx_satellite)</f>
        <v>12.655562623057198</v>
      </c>
      <c r="F32" s="384"/>
      <c r="K32" s="388"/>
      <c r="N32" s="395"/>
      <c r="P32" s="384" t="str">
        <f ca="1">IF(Temps_culmi-T_para&gt;2,IF(Lang="Français","Ouverture parachute fusée précoce.","Early rocket parachute opening."),IF(Temps_culmi-T_para&lt;-2,IF(Lang="Français","Ouverture parachute fusée tardive.","Late rocket parachute opening."),""))</f>
        <v/>
      </c>
    </row>
    <row r="33" spans="1:16" x14ac:dyDescent="0.2">
      <c r="A33" s="59"/>
      <c r="B33" s="133" t="str">
        <f>IF(Lang="Français","Durée descente",IF(Lang="English","Fall duration",""))</f>
        <v>Durée descente</v>
      </c>
      <c r="C33" s="132">
        <f ca="1">Alt_para/V_para</f>
        <v>86.025516860459462</v>
      </c>
      <c r="D33" s="132">
        <f ca="1">IF(V_satellite&lt;&gt;0,Alt_sat/V_satellite,0)</f>
        <v>36.367777141557788</v>
      </c>
      <c r="H33" s="625" t="str">
        <f>IF(Lang="Français","Pour localiser la fusée","To locate the rocket")</f>
        <v>Pour localiser la fusée</v>
      </c>
      <c r="I33" s="625"/>
      <c r="J33" s="482"/>
      <c r="N33" s="395"/>
      <c r="P33" s="384" t="str">
        <f ca="1">IF(ABS(Temps_culmi-T_para)&gt;2,IF(Lang="Français","Attention, aux efforts sur le parachute lors de l'ouverture !","Becarefull to the opening chute efforts!"),"")</f>
        <v/>
      </c>
    </row>
    <row r="34" spans="1:16" customFormat="1" x14ac:dyDescent="0.2">
      <c r="A34" s="59"/>
      <c r="B34" s="133" t="str">
        <f>IF(Lang="Français","Durée du vol",IF(Lang="English","Fligth duration",""))</f>
        <v>Durée du vol</v>
      </c>
      <c r="C34" s="132">
        <f ca="1">T_para+Dt_para</f>
        <v>101.62551686045946</v>
      </c>
      <c r="D34" s="132">
        <f ca="1">T_satellite+Dt_satellite</f>
        <v>39.567777141557791</v>
      </c>
      <c r="F34" s="625" t="str">
        <f>IF(Lang="Français","Couleur fuselage/coiffe","Body/Nose color")</f>
        <v>Couleur fuselage/coiffe</v>
      </c>
      <c r="G34" s="625"/>
      <c r="H34" s="621" t="s">
        <v>266</v>
      </c>
      <c r="I34" s="622"/>
      <c r="J34" s="1"/>
      <c r="K34" s="1"/>
      <c r="L34" s="1"/>
      <c r="M34" s="1"/>
      <c r="N34" s="394"/>
    </row>
    <row r="35" spans="1:16" x14ac:dyDescent="0.2">
      <c r="A35" s="74"/>
      <c r="B35" s="133" t="str">
        <f>IF(Lang="Français","Déport latéral",IF(Lang="English","Lateral shift",""))</f>
        <v>Déport latéral</v>
      </c>
      <c r="C35" s="151">
        <f ca="1">Alt_para*V_vent/V_para</f>
        <v>430.12758430229729</v>
      </c>
      <c r="D35" s="151">
        <f ca="1">IF(V_satellite&lt;&gt;0,Alt_sat*V_vent_sat/V_satellite,0)</f>
        <v>181.8388857077889</v>
      </c>
      <c r="F35" s="625" t="str">
        <f>IF(Lang="Français","Couleur parachute fusée","Rocket parachute color")</f>
        <v>Couleur parachute fusée</v>
      </c>
      <c r="G35" s="625"/>
      <c r="H35" s="621" t="s">
        <v>267</v>
      </c>
      <c r="I35" s="622"/>
      <c r="J35"/>
      <c r="K35"/>
      <c r="L35"/>
      <c r="M35"/>
      <c r="N35" s="394" t="str">
        <f>IF(Lang="Français","fichier initial","Initial file")</f>
        <v>fichier initial</v>
      </c>
      <c r="P35"/>
    </row>
    <row r="36" spans="1:16" x14ac:dyDescent="0.2">
      <c r="A36" s="59"/>
      <c r="F36" s="625" t="str">
        <f>IF(Lang="Français","Couleur parachute satellite","Satellite parachute color")</f>
        <v>Couleur parachute satellite</v>
      </c>
      <c r="G36" s="625"/>
      <c r="H36" s="629" t="s">
        <v>158</v>
      </c>
      <c r="I36" s="629"/>
      <c r="N36" s="393" t="str">
        <f>IF(ROUND(SUM(Propu!5:1228),0)=437735,"propu OK","propu NOK")</f>
        <v>propu OK</v>
      </c>
      <c r="P36"/>
    </row>
    <row r="37" spans="1:16" ht="13.5" thickBot="1" x14ac:dyDescent="0.25">
      <c r="A37" s="60"/>
      <c r="B37" s="181" t="str">
        <f>IF(Lang="Français","Commentaire libre :",IF(Lang="English","Free comment:",""))</f>
        <v>Commentaire libre :</v>
      </c>
      <c r="C37" s="61"/>
      <c r="D37" s="61"/>
      <c r="E37" s="61"/>
      <c r="F37" s="61"/>
      <c r="G37" s="61"/>
      <c r="H37" s="61"/>
      <c r="I37" s="61"/>
      <c r="J37" s="61"/>
      <c r="K37" s="61"/>
      <c r="L37" s="61"/>
      <c r="M37" s="61"/>
      <c r="N37" s="290" t="s">
        <v>567</v>
      </c>
    </row>
    <row r="40" spans="1:16" x14ac:dyDescent="0.2">
      <c r="A40" s="626" t="str">
        <f>IF(Lang="Français","Calcul de la surface d'un parachute","Parachute surface calculation")</f>
        <v>Calcul de la surface d'un parachute</v>
      </c>
      <c r="B40" s="627"/>
      <c r="C40" s="627"/>
      <c r="D40" s="628"/>
      <c r="F40" s="626" t="str">
        <f>IF(Lang="Français","Résultats détaillés","Detailled results")</f>
        <v>Résultats détaillés</v>
      </c>
      <c r="G40" s="628"/>
      <c r="H40" s="170" t="str">
        <f>IF(Lang="Français","Temps",IF(Lang="English","Time",""))</f>
        <v>Temps</v>
      </c>
      <c r="I40" s="134" t="s">
        <v>12</v>
      </c>
      <c r="J40" s="134" t="str">
        <f>IF(Lang="Français","Portée x",IF(Lang="English","Range x",""))</f>
        <v>Portée x</v>
      </c>
      <c r="K40" s="134" t="str">
        <f>IF(Lang="Français","Vitesse",IF(Lang="English","Velocity",""))</f>
        <v>Vitesse</v>
      </c>
      <c r="L40" s="135" t="s">
        <v>13</v>
      </c>
      <c r="M40" s="134" t="s">
        <v>41</v>
      </c>
    </row>
    <row r="41" spans="1:16" x14ac:dyDescent="0.2">
      <c r="A41" s="161"/>
      <c r="D41" s="162"/>
      <c r="F41" s="172"/>
      <c r="G41" s="173"/>
      <c r="H41" s="171" t="s">
        <v>153</v>
      </c>
      <c r="I41" s="136" t="s">
        <v>38</v>
      </c>
      <c r="J41" s="136" t="s">
        <v>38</v>
      </c>
      <c r="K41" s="136" t="s">
        <v>154</v>
      </c>
      <c r="L41" s="136" t="s">
        <v>7</v>
      </c>
      <c r="M41" s="136" t="s">
        <v>155</v>
      </c>
    </row>
    <row r="42" spans="1:16" x14ac:dyDescent="0.2">
      <c r="A42" s="161"/>
      <c r="D42" s="162"/>
      <c r="F42" s="598" t="str">
        <f>IF(Lang="Français","Décollage",IF(Lang="English","Lift-Off",""))</f>
        <v>Décollage</v>
      </c>
      <c r="G42" s="598"/>
      <c r="H42" s="150">
        <v>0</v>
      </c>
      <c r="I42" s="150">
        <v>0</v>
      </c>
      <c r="J42" s="150">
        <v>0</v>
      </c>
      <c r="K42" s="150">
        <v>0</v>
      </c>
      <c r="L42" s="148" t="s">
        <v>14</v>
      </c>
      <c r="M42" s="149">
        <f>Beta_rampe</f>
        <v>80</v>
      </c>
    </row>
    <row r="43" spans="1:16" x14ac:dyDescent="0.2">
      <c r="A43" s="161"/>
      <c r="B43" s="166" t="str">
        <f>IF(Lang="Français","Bord   'a'","Side length 'a'")</f>
        <v>Bord   'a'</v>
      </c>
      <c r="D43" s="162"/>
      <c r="F43" s="599" t="str">
        <f>IF(Lang="Français","Sortie de Rampe",IF(Lang="English","Launch-Pad Exit",""))</f>
        <v>Sortie de Rampe</v>
      </c>
      <c r="G43" s="599"/>
      <c r="H43" s="115">
        <f ca="1">INDEX(t,MATCH("Sortie de rampe",Event,0))</f>
        <v>0.25000000000000006</v>
      </c>
      <c r="I43" s="115">
        <f ca="1">INDEX(pos_z,MATCH("Sortie de rampe",Event,0))</f>
        <v>3.7666859666786143</v>
      </c>
      <c r="J43" s="115">
        <f ca="1">INDEX(pos_x,MATCH("Sortie de rampe",Event,0))</f>
        <v>0.66413326702857223</v>
      </c>
      <c r="K43" s="116">
        <f ca="1">INDEX(vit_xz,MATCH("Sortie de rampe",Event,0))</f>
        <v>32.345304715177136</v>
      </c>
      <c r="L43" s="116">
        <f ca="1">INDEX(acc_xz,MATCH("Sortie de rampe",Event,0))</f>
        <v>139.3104229217511</v>
      </c>
      <c r="M43" s="116">
        <f ca="1">INDEX(BetaD,MATCH("Sortie de rampe",Event,0))</f>
        <v>80</v>
      </c>
    </row>
    <row r="44" spans="1:16" x14ac:dyDescent="0.2">
      <c r="A44" s="161"/>
      <c r="B44" s="167">
        <v>310</v>
      </c>
      <c r="D44" s="162"/>
      <c r="F44" s="599" t="str">
        <f>IF(Lang="Français","Vit max &amp; Acc max",IF(Lang="English","Max Velocity &amp; Acc",""))</f>
        <v>Vit max &amp; Acc max</v>
      </c>
      <c r="G44" s="599"/>
      <c r="H44" s="115" t="s">
        <v>14</v>
      </c>
      <c r="I44" s="115" t="s">
        <v>14</v>
      </c>
      <c r="J44" s="115" t="s">
        <v>14</v>
      </c>
      <c r="K44" s="117">
        <f ca="1">MAX(vit_xz)</f>
        <v>206.43268487323053</v>
      </c>
      <c r="L44" s="118">
        <f ca="1">MAX(acc_xz)</f>
        <v>141.97325984625601</v>
      </c>
      <c r="M44" s="116" t="s">
        <v>14</v>
      </c>
    </row>
    <row r="45" spans="1:16" x14ac:dyDescent="0.2">
      <c r="A45" s="161"/>
      <c r="B45" s="166" t="str">
        <f>IF(Lang="Français","Coté   'b'","Side width 'b'")</f>
        <v>Coté   'b'</v>
      </c>
      <c r="D45" s="162"/>
      <c r="F45" s="599" t="str">
        <f>IF(Lang="Français","Fin de Propulsion",IF(Lang="English","Motor Burn-Out",""))</f>
        <v>Fin de Propulsion</v>
      </c>
      <c r="G45" s="599"/>
      <c r="H45" s="116">
        <f ca="1">INDEX(t,MATCH("Fin de propulsion",Event,0))</f>
        <v>1.7100000000000013</v>
      </c>
      <c r="I45" s="119">
        <f ca="1">INDEX(pos_z,MATCH("Fin de propulsion",Event,0))</f>
        <v>190.67726287924197</v>
      </c>
      <c r="J45" s="119">
        <f ca="1">INDEX(pos_x,MATCH("Fin de propulsion",Event,0))</f>
        <v>37.250036299377363</v>
      </c>
      <c r="K45" s="119">
        <f ca="1">INDEX(vit_xz,MATCH("Fin de propulsion",Event,0))</f>
        <v>205.68826580009224</v>
      </c>
      <c r="L45" s="116">
        <f ca="1">INDEX(acc_xz,MATCH("Fin de propulsion",Event,0))</f>
        <v>30.799306957497876</v>
      </c>
      <c r="M45" s="116">
        <f ca="1">INDEX(BetaD,MATCH("Fin de propulsion",Event,0))</f>
        <v>78.547243067554248</v>
      </c>
    </row>
    <row r="46" spans="1:16" x14ac:dyDescent="0.2">
      <c r="A46" s="161"/>
      <c r="B46" s="168">
        <v>310</v>
      </c>
      <c r="D46" s="162"/>
      <c r="F46" s="599" t="s">
        <v>15</v>
      </c>
      <c r="G46" s="599"/>
      <c r="H46" s="118">
        <f ca="1">INDEX(t,MATCH("Apogée",Event,0))</f>
        <v>15.399999999999963</v>
      </c>
      <c r="I46" s="117">
        <f ca="1">INDEX(pos_z,MATCH("Apogée",Event,0))</f>
        <v>1311.9887558152445</v>
      </c>
      <c r="J46" s="120">
        <f ca="1">INDEX(pos_x,MATCH("Apogée",Event,0))</f>
        <v>421.9129981473655</v>
      </c>
      <c r="K46" s="120">
        <f ca="1">INDEX(vit_xz,MATCH("Apogée",Event,0))</f>
        <v>22.983048421418513</v>
      </c>
      <c r="L46" s="116">
        <f ca="1">INDEX(acc_xz,MATCH("Apogée",Event,0))</f>
        <v>9.8277429657802688</v>
      </c>
      <c r="M46" s="121">
        <f ca="1">INDEX(BetaD,MATCH("Apogée",Event,0))</f>
        <v>1.177316222550183</v>
      </c>
    </row>
    <row r="47" spans="1:16" x14ac:dyDescent="0.2">
      <c r="A47" s="161"/>
      <c r="B47" s="169" t="s">
        <v>9</v>
      </c>
      <c r="D47" s="162"/>
      <c r="F47" s="602" t="str">
        <f>IF(Lang="Français","Impact balistique",IF(Lang="English","Balistic Impact",""))</f>
        <v>Impact balistique</v>
      </c>
      <c r="G47" s="602"/>
      <c r="H47" s="116">
        <f ca="1">INDEX(t,MATCH("Impact balistique",Event,0))</f>
        <v>33.600000000000207</v>
      </c>
      <c r="I47" s="148" t="s">
        <v>16</v>
      </c>
      <c r="J47" s="117">
        <f ca="1">INDEX(pos_x,MATCH("Impact balistique",Event,0))</f>
        <v>755.70453742140728</v>
      </c>
      <c r="K47" s="119">
        <f ca="1">INDEX(vit_xz,MATCH("Impact balistique",Event,0))</f>
        <v>120.88711662184053</v>
      </c>
      <c r="L47" s="116">
        <f ca="1">INDEX(acc_xz,MATCH("Impact balistique",Event,0))</f>
        <v>2.5759071886450999</v>
      </c>
      <c r="M47" s="116">
        <f ca="1">INDEX(BetaD,MATCH("Impact balistique",Event,0))</f>
        <v>-84.353142098264627</v>
      </c>
    </row>
    <row r="48" spans="1:16" x14ac:dyDescent="0.2">
      <c r="A48" s="161"/>
      <c r="B48" s="174">
        <f>(4*B44*B46+B44^2)/10^6</f>
        <v>0.48049999999999998</v>
      </c>
      <c r="D48" s="162"/>
      <c r="F48" s="604" t="str">
        <f>IF(Lang="Français","Ouverture parachute fusée",IF(Lang="English","Rocket parachute opening",""))</f>
        <v>Ouverture parachute fusée</v>
      </c>
      <c r="G48" s="604"/>
      <c r="H48" s="122">
        <f>T_para</f>
        <v>15.6</v>
      </c>
      <c r="I48" s="123">
        <f ca="1">INDEX(pos_z,MATCH("Para",Event_para,0))</f>
        <v>1311.886954100929</v>
      </c>
      <c r="J48" s="123">
        <f ca="1">INDEX(pos_x,MATCH("Para",Event_para,0))</f>
        <v>426.50394172374166</v>
      </c>
      <c r="K48" s="123">
        <f ca="1">INDEX(vit_xz,MATCH("Para",Event_para,0))</f>
        <v>22.979602555347913</v>
      </c>
      <c r="L48" s="122">
        <f ca="1">INDEX(acc_xz,MATCH("Para",Event_para,0))</f>
        <v>9.807601260610415</v>
      </c>
      <c r="M48" s="124">
        <f ca="1">INDEX(BetaD,MATCH("Para",Event_para,0))</f>
        <v>-3.7170211899742132</v>
      </c>
    </row>
    <row r="49" spans="1:13" x14ac:dyDescent="0.2">
      <c r="A49" s="161"/>
      <c r="D49" s="162"/>
      <c r="F49" s="603" t="str">
        <f>IF(Lang="Français","Impact fusée sous para.",IF(Lang="English","Impact of rocket with para. ",""))</f>
        <v>Impact fusée sous para.</v>
      </c>
      <c r="G49" s="603"/>
      <c r="H49" s="125">
        <f ca="1">T_para+Dt_para</f>
        <v>101.62551686045946</v>
      </c>
      <c r="I49" s="127" t="s">
        <v>16</v>
      </c>
      <c r="J49" s="126" t="str">
        <f ca="1">CONCATENATE(TEXT(X_para-Dx_para,"0")," | ",TEXT(X_para+Dx_para,"0"))</f>
        <v>-4 | 857</v>
      </c>
      <c r="K49" s="126">
        <f ca="1">V_para</f>
        <v>15.249974681685652</v>
      </c>
      <c r="L49" s="128">
        <f>g</f>
        <v>9.81</v>
      </c>
      <c r="M49" s="128" t="s">
        <v>14</v>
      </c>
    </row>
    <row r="50" spans="1:13" x14ac:dyDescent="0.2">
      <c r="A50" s="161"/>
      <c r="D50" s="162"/>
      <c r="F50" s="600" t="str">
        <f>IF(Lang="Français","Largage du satellite",IF(Lang="English","Satellite separation",""))</f>
        <v>Largage du satellite</v>
      </c>
      <c r="G50" s="601"/>
      <c r="H50" s="122">
        <f>IF(T_satellite&lt;&gt;0,T_satellite,"")</f>
        <v>3.2</v>
      </c>
      <c r="I50" s="123">
        <f ca="1">IF(T_satellite&lt;&gt;0,INDEX(pos_z,MATCH("Satellite",Event_sat,0)),"")</f>
        <v>460.25468107637266</v>
      </c>
      <c r="J50" s="129">
        <f ca="1">IF(T_satellite&lt;&gt;0,INDEX(pos_x,MATCH("Satellite",Event_sat,0)),"")</f>
        <v>93.980367732913194</v>
      </c>
      <c r="K50" s="123">
        <f ca="1">IF(T_satellite&lt;&gt;0,INDEX(vit_xz,MATCH("Satellite",Event_sat,0)),"")</f>
        <v>165.96393404501717</v>
      </c>
      <c r="L50" s="122">
        <f ca="1">IF(T_satellite&lt;&gt;0,INDEX(acc_xz,MATCH("Satellite",Event_sat,0)),"")</f>
        <v>23.421257927159751</v>
      </c>
      <c r="M50" s="124">
        <f ca="1">IF(T_satellite&lt;&gt;0,INDEX(BetaD,MATCH("Satellite",Event_sat,0)),"")</f>
        <v>77.604688748128353</v>
      </c>
    </row>
    <row r="51" spans="1:13" x14ac:dyDescent="0.2">
      <c r="A51" s="161"/>
      <c r="B51" s="166" t="str">
        <f>IF(Lang="Français","Rayon exterieur","Half-diameter ext")</f>
        <v>Rayon exterieur</v>
      </c>
      <c r="D51" s="162"/>
      <c r="F51" s="596" t="str">
        <f>IF(Lang="Français","Impact du satellite",IF(Lang="English","Satellite impact",""))</f>
        <v>Impact du satellite</v>
      </c>
      <c r="G51" s="597"/>
      <c r="H51" s="125">
        <f ca="1">IF(T_satellite&lt;&gt;0,T_satellite+Dt_satellite,"")</f>
        <v>39.567777141557791</v>
      </c>
      <c r="I51" s="130" t="str">
        <f>IF(T_satellite&lt;&gt;0,"~0","")</f>
        <v>~0</v>
      </c>
      <c r="J51" s="130" t="str">
        <f ca="1">IF(T_satellite&lt;&gt;0,CONCATENATE(TEXT(X_satellite-Dx_sat,"0")," | ",TEXT(X_satellite+Dx_sat,"0")),"")</f>
        <v>-88 | 276</v>
      </c>
      <c r="K51" s="130">
        <f>IF(T_satellite&lt;&gt;0,V_satellite,"")</f>
        <v>12.655562623057198</v>
      </c>
      <c r="L51" s="128">
        <f>IF(T_satellite&lt;&gt;0,g,"")</f>
        <v>9.81</v>
      </c>
      <c r="M51" s="131" t="str">
        <f>IF(T_satellite&lt;&gt;0,"-","")</f>
        <v>-</v>
      </c>
    </row>
    <row r="52" spans="1:13" x14ac:dyDescent="0.2">
      <c r="A52" s="161"/>
      <c r="B52" s="168">
        <v>299</v>
      </c>
      <c r="D52" s="162"/>
    </row>
    <row r="53" spans="1:13" x14ac:dyDescent="0.2">
      <c r="A53" s="161"/>
      <c r="B53" s="166" t="str">
        <f>IF(Lang="Français","Rayon intérieur","Half-diameter int")</f>
        <v>Rayon intérieur</v>
      </c>
      <c r="D53" s="162"/>
    </row>
    <row r="54" spans="1:13" x14ac:dyDescent="0.2">
      <c r="A54" s="161"/>
      <c r="B54" s="168">
        <v>29</v>
      </c>
      <c r="D54" s="162"/>
    </row>
    <row r="55" spans="1:13" x14ac:dyDescent="0.2">
      <c r="A55" s="161"/>
      <c r="B55" s="169" t="s">
        <v>9</v>
      </c>
      <c r="D55" s="162"/>
    </row>
    <row r="56" spans="1:13" x14ac:dyDescent="0.2">
      <c r="A56" s="161"/>
      <c r="B56" s="174">
        <f>PI()*(B52^2-B54^2)/10^6</f>
        <v>0.27821944540191207</v>
      </c>
      <c r="D56" s="162"/>
    </row>
    <row r="57" spans="1:13" x14ac:dyDescent="0.2">
      <c r="A57" s="163"/>
      <c r="B57" s="164"/>
      <c r="C57" s="164"/>
      <c r="D57" s="165"/>
    </row>
    <row r="94" spans="2:2" x14ac:dyDescent="0.2">
      <c r="B94" s="24" t="str">
        <f>IF(Lang="Français","Vitesse de descente sous parachute :",IF(Lang="English","Fall velocity over parachute:",""))</f>
        <v>Vitesse de descente sous parachute :</v>
      </c>
    </row>
    <row r="103" spans="2:9" x14ac:dyDescent="0.2">
      <c r="B103" s="24" t="str">
        <f>IF(Lang="Français","Textes pour les listes déroulantes et graphiques :","Texts for drop-down lists &amp; graphics :")</f>
        <v>Textes pour les listes déroulantes et graphiques :</v>
      </c>
    </row>
    <row r="104" spans="2:9" x14ac:dyDescent="0.2">
      <c r="F104" s="221" t="s">
        <v>407</v>
      </c>
      <c r="G104" s="1" t="s">
        <v>414</v>
      </c>
      <c r="I104" s="1" t="s">
        <v>559</v>
      </c>
    </row>
    <row r="105" spans="2:9" x14ac:dyDescent="0.2">
      <c r="B105" s="1" t="s">
        <v>120</v>
      </c>
      <c r="F105" s="477">
        <f ca="1">Combustion+Depotage-9</f>
        <v>-9</v>
      </c>
      <c r="G105" s="478" t="s">
        <v>409</v>
      </c>
      <c r="I105" s="1" t="s">
        <v>560</v>
      </c>
    </row>
    <row r="106" spans="2:9" x14ac:dyDescent="0.2">
      <c r="B106" s="1" t="s">
        <v>121</v>
      </c>
      <c r="F106" s="477">
        <f ca="1">Combustion+Depotage-7</f>
        <v>-7</v>
      </c>
      <c r="G106" s="478" t="s">
        <v>410</v>
      </c>
      <c r="I106" s="1" t="s">
        <v>561</v>
      </c>
    </row>
    <row r="107" spans="2:9" x14ac:dyDescent="0.2">
      <c r="B107" s="1" t="str">
        <f>IF(T_para&gt;0,IF(Lang="Français","Phase ascendante","Climbing phase"),"")</f>
        <v>Phase ascendante</v>
      </c>
      <c r="F107" s="477">
        <f ca="1">Combustion+Depotage-5</f>
        <v>-5</v>
      </c>
      <c r="G107" s="478" t="s">
        <v>411</v>
      </c>
    </row>
    <row r="108" spans="2:9" x14ac:dyDescent="0.2">
      <c r="B108" s="1" t="str">
        <f>IF(Lang="Français","Descente balistique","Balistic fall")</f>
        <v>Descente balistique</v>
      </c>
      <c r="F108" s="477">
        <f ca="1">Combustion+Depotage-3</f>
        <v>-3</v>
      </c>
      <c r="G108" s="478" t="s">
        <v>412</v>
      </c>
    </row>
    <row r="109" spans="2:9" x14ac:dyDescent="0.2">
      <c r="B109" s="1" t="str">
        <f>IF(T_para&gt;0,IF(Lang="Français","Fusée sous parachute","Rocket under parachute"),"")</f>
        <v>Fusée sous parachute</v>
      </c>
      <c r="F109" s="477">
        <f ca="1">Combustion+Depotage</f>
        <v>0</v>
      </c>
      <c r="G109" s="478" t="s">
        <v>413</v>
      </c>
    </row>
    <row r="110" spans="2:9" x14ac:dyDescent="0.2">
      <c r="B110" s="1" t="str">
        <f>IF(AND(Nb_sat="1 satellite",T_satellite&gt;0),IF(Lang="Français","Satellite sous parachute","Satellite over parachute"),"")</f>
        <v>Satellite sous parachute</v>
      </c>
      <c r="F110" s="479" t="str">
        <f>IF(Lang="Français","autre",IF(Lang="English","other",""))</f>
        <v>autre</v>
      </c>
    </row>
    <row r="111" spans="2:9" x14ac:dyDescent="0.2">
      <c r="B111" s="1" t="str">
        <f>IF(Lang="Français","Trajectoire (x z)","Trajectory (x z)")</f>
        <v>Trajectoire (x z)</v>
      </c>
    </row>
    <row r="112" spans="2:9" x14ac:dyDescent="0.2">
      <c r="B112" s="1" t="str">
        <f>IF(Lang="Français","Portée x [m]","Range x [m]")</f>
        <v>Portée x [m]</v>
      </c>
    </row>
    <row r="113" spans="2:3" x14ac:dyDescent="0.2">
      <c r="B113" s="1" t="str">
        <f>IF(Lang="Français","Temps [s]","Time [s]")</f>
        <v>Temps [s]</v>
      </c>
    </row>
    <row r="114" spans="2:3" x14ac:dyDescent="0.2">
      <c r="B114" s="1" t="str">
        <f>IF(Lang="Français","Altitude z  /  Temps","Altitude z  /  Time")</f>
        <v>Altitude z  /  Temps</v>
      </c>
      <c r="C114" s="1">
        <f>IF(OR(C26=F104,C26=F110),C27,C26)</f>
        <v>15.6</v>
      </c>
    </row>
    <row r="116" spans="2:3" x14ac:dyDescent="0.2">
      <c r="B116" s="1" t="s">
        <v>408</v>
      </c>
    </row>
    <row r="118" spans="2:3" x14ac:dyDescent="0.2">
      <c r="B118" s="24" t="str">
        <f>IF(Lang="Français","Données pour les graphiques :","Data for plots:")</f>
        <v>Données pour les graphiques :</v>
      </c>
    </row>
    <row r="120" spans="2:3" x14ac:dyDescent="0.2">
      <c r="B120" s="210" t="s">
        <v>47</v>
      </c>
      <c r="C120" s="211" t="s">
        <v>47</v>
      </c>
    </row>
    <row r="121" spans="2:3" x14ac:dyDescent="0.2">
      <c r="B121" s="218">
        <f ca="1">MAX(Altitude_culmi,Portee_balistique)</f>
        <v>1311.9887558152445</v>
      </c>
      <c r="C121" s="216">
        <f ca="1">MAX(Altitude_culmi,Portee_balistique)</f>
        <v>1311.9887558152445</v>
      </c>
    </row>
    <row r="123" spans="2:3" x14ac:dyDescent="0.2">
      <c r="B123" s="210" t="s">
        <v>49</v>
      </c>
      <c r="C123" s="211" t="s">
        <v>45</v>
      </c>
    </row>
    <row r="124" spans="2:3" x14ac:dyDescent="0.2">
      <c r="B124" s="217">
        <f ca="1">X_para</f>
        <v>426.50394172374166</v>
      </c>
      <c r="C124" s="214">
        <f ca="1">Alt_para</f>
        <v>1311.886954100929</v>
      </c>
    </row>
    <row r="125" spans="2:3" x14ac:dyDescent="0.2">
      <c r="B125" s="217">
        <f ca="1">X_para</f>
        <v>426.50394172374166</v>
      </c>
      <c r="C125" s="214">
        <f ca="1">Alt_para/2</f>
        <v>655.94347705046448</v>
      </c>
    </row>
    <row r="126" spans="2:3" x14ac:dyDescent="0.2">
      <c r="B126" s="217">
        <f ca="1">X_para</f>
        <v>426.50394172374166</v>
      </c>
      <c r="C126" s="214">
        <v>0</v>
      </c>
    </row>
    <row r="127" spans="2:3" x14ac:dyDescent="0.2">
      <c r="B127" s="217">
        <f ca="1">X_para+Alt_para/40</f>
        <v>459.30111557626486</v>
      </c>
      <c r="C127" s="214">
        <f ca="1">Alt_para/20</f>
        <v>65.594347705046445</v>
      </c>
    </row>
    <row r="128" spans="2:3" x14ac:dyDescent="0.2">
      <c r="B128" s="217">
        <f ca="1">X_para</f>
        <v>426.50394172374166</v>
      </c>
      <c r="C128" s="214">
        <v>0</v>
      </c>
    </row>
    <row r="129" spans="2:6" x14ac:dyDescent="0.2">
      <c r="B129" s="217">
        <f ca="1">X_para-Alt_para/40</f>
        <v>393.70676787121846</v>
      </c>
      <c r="C129" s="214">
        <f ca="1">Alt_para/20</f>
        <v>65.594347705046445</v>
      </c>
    </row>
    <row r="130" spans="2:6" x14ac:dyDescent="0.2">
      <c r="B130" s="218">
        <f ca="1">X_para</f>
        <v>426.50394172374166</v>
      </c>
      <c r="C130" s="219">
        <v>0</v>
      </c>
    </row>
    <row r="131" spans="2:6" x14ac:dyDescent="0.2">
      <c r="B131" s="210" t="s">
        <v>48</v>
      </c>
      <c r="C131" s="211" t="s">
        <v>45</v>
      </c>
    </row>
    <row r="132" spans="2:6" x14ac:dyDescent="0.2">
      <c r="B132" s="213">
        <f>T_para</f>
        <v>15.6</v>
      </c>
      <c r="C132" s="214">
        <f ca="1">Alt_para</f>
        <v>1311.886954100929</v>
      </c>
    </row>
    <row r="133" spans="2:6" x14ac:dyDescent="0.2">
      <c r="B133" s="213">
        <f ca="1">(B132+B134)/2</f>
        <v>58.612758430229725</v>
      </c>
      <c r="C133" s="214">
        <f ca="1">(C132+C134)/2</f>
        <v>655.94347705046448</v>
      </c>
      <c r="E133" s="232">
        <v>1</v>
      </c>
      <c r="F133" s="233" t="s">
        <v>175</v>
      </c>
    </row>
    <row r="134" spans="2:6" x14ac:dyDescent="0.2">
      <c r="B134" s="213">
        <f ca="1">H49</f>
        <v>101.62551686045946</v>
      </c>
      <c r="C134" s="214">
        <f>0</f>
        <v>0</v>
      </c>
      <c r="E134" s="161">
        <v>1</v>
      </c>
      <c r="F134" s="234" t="s">
        <v>176</v>
      </c>
    </row>
    <row r="135" spans="2:6" x14ac:dyDescent="0.2">
      <c r="B135" s="213">
        <f ca="1">H49+E133*sS/2*zZ_fus-E134*sS*tT_fus</f>
        <v>100.46129283503059</v>
      </c>
      <c r="C135" s="214">
        <f ca="1">Alt_para-V_para*(H49-T_para)+E133*sS*Altitude_culmi/H49*zZ_fus+E134*sS/2*Altitude_culmi/H49*tT_fus</f>
        <v>61.737222929406798</v>
      </c>
      <c r="E135" s="161"/>
      <c r="F135" s="241" t="s">
        <v>177</v>
      </c>
    </row>
    <row r="136" spans="2:6" x14ac:dyDescent="0.2">
      <c r="B136" s="213">
        <f ca="1">H49</f>
        <v>101.62551686045946</v>
      </c>
      <c r="C136" s="214">
        <f ca="1">Alt_para-V_para*(H49-T_para)</f>
        <v>0</v>
      </c>
      <c r="E136" s="235" t="s">
        <v>172</v>
      </c>
      <c r="F136" s="236">
        <f ca="1">T_balistique/10</f>
        <v>3.3600000000000207</v>
      </c>
    </row>
    <row r="137" spans="2:6" x14ac:dyDescent="0.2">
      <c r="B137" s="213">
        <f ca="1">H49-E133*sS/2*zZ_fus-E134*sS*tT_fus</f>
        <v>97.101292835030577</v>
      </c>
      <c r="C137" s="214">
        <f ca="1">Alt_para-V_para*(H49-T_para)+E133*sS*Altitude_culmi/H49*zZ_fus-E134*sS/2*Altitude_culmi/H49*tT_fus</f>
        <v>25.018197475336596</v>
      </c>
      <c r="E137" s="235" t="s">
        <v>173</v>
      </c>
      <c r="F137" s="236">
        <f ca="1">(H49-T_para)/H49</f>
        <v>0.84649524566334922</v>
      </c>
    </row>
    <row r="138" spans="2:6" x14ac:dyDescent="0.2">
      <c r="B138" s="215">
        <f ca="1">H49</f>
        <v>101.62551686045946</v>
      </c>
      <c r="C138" s="216">
        <f ca="1">Alt_para-V_para*(H49-T_para)</f>
        <v>0</v>
      </c>
      <c r="E138" s="237" t="s">
        <v>174</v>
      </c>
      <c r="F138" s="238">
        <f ca="1">V_para*(H49-T_para)/Alt_para</f>
        <v>1</v>
      </c>
    </row>
    <row r="140" spans="2:6" x14ac:dyDescent="0.2">
      <c r="B140" s="210" t="s">
        <v>51</v>
      </c>
      <c r="C140" s="211" t="s">
        <v>46</v>
      </c>
    </row>
    <row r="141" spans="2:6" x14ac:dyDescent="0.2">
      <c r="B141" s="217">
        <f ca="1">IF(Nb_sat="1 satellite",X_satellite)</f>
        <v>93.980367732913194</v>
      </c>
      <c r="C141" s="214">
        <f ca="1">IF(Nb_sat="1 satellite",Alt_sat)</f>
        <v>460.25468107637266</v>
      </c>
    </row>
    <row r="142" spans="2:6" x14ac:dyDescent="0.2">
      <c r="B142" s="217">
        <f ca="1">IF(Nb_sat="1 satellite",X_satellite)</f>
        <v>93.980367732913194</v>
      </c>
      <c r="C142" s="214">
        <f ca="1">IF(Nb_sat="1 satellite",Alt_sat*1/4)</f>
        <v>115.06367026909317</v>
      </c>
    </row>
    <row r="143" spans="2:6" x14ac:dyDescent="0.2">
      <c r="B143" s="217">
        <f ca="1">IF(Nb_sat="1 satellite",X_satellite)</f>
        <v>93.980367732913194</v>
      </c>
      <c r="C143" s="214">
        <f>IF(Nb_sat="1 satellite",0)</f>
        <v>0</v>
      </c>
    </row>
    <row r="144" spans="2:6" x14ac:dyDescent="0.2">
      <c r="B144" s="217">
        <f ca="1">IF(Nb_sat="1 satellite",X_satellite+Alt_sat/40)</f>
        <v>105.48673475982251</v>
      </c>
      <c r="C144" s="214">
        <f ca="1">IF(Nb_sat="1 satellite",Alt_sat/20)</f>
        <v>23.012734053818633</v>
      </c>
    </row>
    <row r="145" spans="2:6" x14ac:dyDescent="0.2">
      <c r="B145" s="217">
        <f ca="1">IF(Nb_sat="1 satellite",X_satellite)</f>
        <v>93.980367732913194</v>
      </c>
      <c r="C145" s="214">
        <f>IF(Nb_sat="1 satellite",0)</f>
        <v>0</v>
      </c>
    </row>
    <row r="146" spans="2:6" x14ac:dyDescent="0.2">
      <c r="B146" s="217">
        <f ca="1">IF(Nb_sat="1 satellite",X_satellite-Alt_sat/40)</f>
        <v>82.474000706003878</v>
      </c>
      <c r="C146" s="214">
        <f ca="1">IF(Nb_sat="1 satellite",Alt_sat/20)</f>
        <v>23.012734053818633</v>
      </c>
    </row>
    <row r="147" spans="2:6" x14ac:dyDescent="0.2">
      <c r="B147" s="218">
        <f ca="1">IF(Nb_sat="1 satellite",X_satellite)</f>
        <v>93.980367732913194</v>
      </c>
      <c r="C147" s="214">
        <f>IF(Nb_sat="1 satellite",0)</f>
        <v>0</v>
      </c>
    </row>
    <row r="148" spans="2:6" x14ac:dyDescent="0.2">
      <c r="B148" s="210" t="s">
        <v>50</v>
      </c>
      <c r="C148" s="211" t="s">
        <v>46</v>
      </c>
    </row>
    <row r="149" spans="2:6" x14ac:dyDescent="0.2">
      <c r="B149" s="213">
        <f>IF(Nb_sat="1 satellite",T_satellite)</f>
        <v>3.2</v>
      </c>
      <c r="C149" s="214">
        <f ca="1">IF(Nb_sat="1 satellite",Alt_sat)</f>
        <v>460.25468107637266</v>
      </c>
      <c r="D149" s="221"/>
    </row>
    <row r="150" spans="2:6" x14ac:dyDescent="0.2">
      <c r="B150" s="213">
        <f ca="1">(B149+B151)/2</f>
        <v>21.383888570778897</v>
      </c>
      <c r="C150" s="214">
        <f ca="1">(C149+C151)/2</f>
        <v>230.12734053818633</v>
      </c>
      <c r="D150" s="221"/>
    </row>
    <row r="151" spans="2:6" x14ac:dyDescent="0.2">
      <c r="B151" s="213">
        <f ca="1">IF(Nb_sat="1 satellite",H51)</f>
        <v>39.567777141557791</v>
      </c>
      <c r="C151" s="214">
        <f>IF(Nb_sat="1 satellite",0)</f>
        <v>0</v>
      </c>
    </row>
    <row r="152" spans="2:6" x14ac:dyDescent="0.2">
      <c r="B152" s="213">
        <f ca="1">IF(Nb_sat="1 satellite",H51+E133*sS/2*zZ_sat-E134*sS*tT_sat)</f>
        <v>37.93209722967336</v>
      </c>
      <c r="C152" s="214">
        <f ca="1">IF(Nb_sat="1 satellite",Alt_sat-V_satellite*(H51-T_satellite)+E133*sS*Altitude_culmi/H51*zZ_sat+E134*sS/2*Altitude_culmi/H51*tT_sat)</f>
        <v>143.52909487100536</v>
      </c>
      <c r="D152" s="221"/>
    </row>
    <row r="153" spans="2:6" x14ac:dyDescent="0.2">
      <c r="B153" s="213">
        <f ca="1">IF(Nb_sat="1 satellite",H51)</f>
        <v>39.567777141557791</v>
      </c>
      <c r="C153" s="214">
        <f>IF(Nb_sat="1 satellite",0)</f>
        <v>0</v>
      </c>
    </row>
    <row r="154" spans="2:6" x14ac:dyDescent="0.2">
      <c r="B154" s="213">
        <f ca="1">IF(Nb_sat="1 satellite",H51-sS/2*zZ_sat-E134*sS*tT_sat)</f>
        <v>35.123457053442181</v>
      </c>
      <c r="C154" s="214">
        <f ca="1">IF(Nb_sat="1 satellite",Alt_sat-V_satellite*(H51-T_satellite)+E133*sS*Altitude_culmi/H51*zZ_sat-E134*sS/2*Altitude_culmi/H51*tT_sat)</f>
        <v>42.728744034785876</v>
      </c>
      <c r="E154" s="239" t="s">
        <v>173</v>
      </c>
      <c r="F154" s="240">
        <f ca="1">(T_balistique-T_satellite)/T_balistique</f>
        <v>0.90476190476190532</v>
      </c>
    </row>
    <row r="155" spans="2:6" x14ac:dyDescent="0.2">
      <c r="B155" s="215">
        <f ca="1">IF(Nb_sat="1 satellite",H51)</f>
        <v>39.567777141557791</v>
      </c>
      <c r="C155" s="216">
        <f>IF(Nb_sat="1 satellite",0)</f>
        <v>0</v>
      </c>
      <c r="E155" s="237" t="s">
        <v>174</v>
      </c>
      <c r="F155" s="238">
        <f ca="1">V_satellite*(T_balistique-T_satellite)/Alt_sat</f>
        <v>0.83590481435451425</v>
      </c>
    </row>
    <row r="157" spans="2:6" x14ac:dyDescent="0.2">
      <c r="B157" s="210" t="s">
        <v>2</v>
      </c>
      <c r="C157" s="228" t="s">
        <v>29</v>
      </c>
      <c r="D157" s="211" t="s">
        <v>3</v>
      </c>
    </row>
    <row r="158" spans="2:6" x14ac:dyDescent="0.2">
      <c r="B158" s="231">
        <f>T_para/4</f>
        <v>3.9</v>
      </c>
      <c r="C158" s="82">
        <f ca="1">Alt_para/2</f>
        <v>655.94347705046448</v>
      </c>
      <c r="D158" s="214">
        <f ca="1">X_para/4</f>
        <v>106.62598543093542</v>
      </c>
    </row>
    <row r="159" spans="2:6" x14ac:dyDescent="0.2">
      <c r="B159" s="229">
        <f ca="1">Temps_culmi + (T_balistique-Temps_culmi)/2</f>
        <v>24.500000000000085</v>
      </c>
      <c r="C159" s="230">
        <f ca="1">Altitude_culmi/2</f>
        <v>655.99437790762227</v>
      </c>
      <c r="D159" s="216">
        <f ca="1">X_culmi+(Portee_balistique-X_culmi)*2/3</f>
        <v>644.44069099672674</v>
      </c>
    </row>
    <row r="161" spans="2:6" x14ac:dyDescent="0.2">
      <c r="B161" s="210" t="s">
        <v>304</v>
      </c>
      <c r="C161" s="228" t="s">
        <v>303</v>
      </c>
      <c r="D161" s="422" t="s">
        <v>305</v>
      </c>
    </row>
    <row r="162" spans="2:6" x14ac:dyDescent="0.2">
      <c r="B162" s="231" t="e">
        <f ca="1">IF(AND(Altitude_culmi&gt;80, Altitude_culmi&lt;=350), 49, NA())</f>
        <v>#N/A</v>
      </c>
      <c r="C162" s="5">
        <v>0</v>
      </c>
      <c r="D162" s="82">
        <f t="shared" ref="D162:D177" ca="1" si="0">X_culmi+C162</f>
        <v>421.9129981473655</v>
      </c>
      <c r="E162" s="422"/>
      <c r="F162" s="423" t="s">
        <v>305</v>
      </c>
    </row>
    <row r="163" spans="2:6" x14ac:dyDescent="0.2">
      <c r="B163" s="231" t="e">
        <f ca="1">IF(AND(Altitude_culmi&gt;80, Altitude_culmi&lt;=350), 49, NA())</f>
        <v>#N/A</v>
      </c>
      <c r="C163" s="5">
        <v>23</v>
      </c>
      <c r="D163" s="82">
        <f t="shared" ca="1" si="0"/>
        <v>444.9129981473655</v>
      </c>
      <c r="E163" s="82"/>
      <c r="F163" s="214">
        <f t="shared" ref="F163:F178" ca="1" si="1">X_culmi-C162</f>
        <v>421.9129981473655</v>
      </c>
    </row>
    <row r="164" spans="2:6" x14ac:dyDescent="0.2">
      <c r="B164" s="231" t="e">
        <f ca="1">IF(AND(Altitude_culmi&gt;80, Altitude_culmi&lt;=350), 43, NA())</f>
        <v>#N/A</v>
      </c>
      <c r="C164" s="5">
        <v>23</v>
      </c>
      <c r="D164" s="82">
        <f t="shared" ca="1" si="0"/>
        <v>444.9129981473655</v>
      </c>
      <c r="E164" s="82"/>
      <c r="F164" s="214">
        <f t="shared" ca="1" si="1"/>
        <v>398.9129981473655</v>
      </c>
    </row>
    <row r="165" spans="2:6" x14ac:dyDescent="0.2">
      <c r="B165" s="231" t="e">
        <f ca="1">IF(AND(Altitude_culmi&gt;80, Altitude_culmi&lt;=350), 43, NA())</f>
        <v>#N/A</v>
      </c>
      <c r="C165" s="5">
        <v>0</v>
      </c>
      <c r="D165" s="82">
        <f t="shared" ca="1" si="0"/>
        <v>421.9129981473655</v>
      </c>
      <c r="E165" s="82"/>
      <c r="F165" s="214">
        <f t="shared" ca="1" si="1"/>
        <v>398.9129981473655</v>
      </c>
    </row>
    <row r="166" spans="2:6" x14ac:dyDescent="0.2">
      <c r="B166" s="231" t="e">
        <f ca="1">IF(AND(Altitude_culmi&gt;80, Altitude_culmi&lt;=350), 43, NA())</f>
        <v>#N/A</v>
      </c>
      <c r="C166" s="5">
        <v>23</v>
      </c>
      <c r="D166" s="82">
        <f t="shared" ca="1" si="0"/>
        <v>444.9129981473655</v>
      </c>
      <c r="E166" s="82"/>
      <c r="F166" s="214">
        <f t="shared" ca="1" si="1"/>
        <v>421.9129981473655</v>
      </c>
    </row>
    <row r="167" spans="2:6" x14ac:dyDescent="0.2">
      <c r="B167" s="231" t="e">
        <f ca="1">IF(AND(Altitude_culmi&gt;80, Altitude_culmi&lt;=350), 0.5, NA())</f>
        <v>#N/A</v>
      </c>
      <c r="C167" s="5">
        <v>23</v>
      </c>
      <c r="D167" s="82">
        <f t="shared" ca="1" si="0"/>
        <v>444.9129981473655</v>
      </c>
      <c r="E167" s="82"/>
      <c r="F167" s="214">
        <f t="shared" ca="1" si="1"/>
        <v>398.9129981473655</v>
      </c>
    </row>
    <row r="168" spans="2:6" x14ac:dyDescent="0.2">
      <c r="B168" s="231" t="e">
        <f ca="1">IF(AND(Altitude_culmi&gt;80, Altitude_culmi&lt;=350), 0.5, NA())</f>
        <v>#N/A</v>
      </c>
      <c r="C168" s="5">
        <v>8</v>
      </c>
      <c r="D168" s="82">
        <f t="shared" ca="1" si="0"/>
        <v>429.9129981473655</v>
      </c>
      <c r="E168" s="82"/>
      <c r="F168" s="214">
        <f t="shared" ca="1" si="1"/>
        <v>398.9129981473655</v>
      </c>
    </row>
    <row r="169" spans="2:6" x14ac:dyDescent="0.2">
      <c r="B169" s="231" t="e">
        <f ca="1">IF(AND(Altitude_culmi&gt;80, Altitude_culmi&lt;=350), 27, NA())</f>
        <v>#N/A</v>
      </c>
      <c r="C169" s="5">
        <v>8</v>
      </c>
      <c r="D169" s="82">
        <f t="shared" ca="1" si="0"/>
        <v>429.9129981473655</v>
      </c>
      <c r="E169" s="82"/>
      <c r="F169" s="214">
        <f t="shared" ca="1" si="1"/>
        <v>413.9129981473655</v>
      </c>
    </row>
    <row r="170" spans="2:6" x14ac:dyDescent="0.2">
      <c r="B170" s="231" t="e">
        <f ca="1">IF(AND(Altitude_culmi&gt;80, Altitude_culmi&lt;=350), 27, NA())</f>
        <v>#N/A</v>
      </c>
      <c r="C170" s="5">
        <v>23</v>
      </c>
      <c r="D170" s="82">
        <f t="shared" ca="1" si="0"/>
        <v>444.9129981473655</v>
      </c>
      <c r="E170" s="82"/>
      <c r="F170" s="214">
        <f t="shared" ca="1" si="1"/>
        <v>413.9129981473655</v>
      </c>
    </row>
    <row r="171" spans="2:6" x14ac:dyDescent="0.2">
      <c r="B171" s="231" t="e">
        <f ca="1">IF(AND(Altitude_culmi&gt;80, Altitude_culmi&lt;=350), 27, NA())</f>
        <v>#N/A</v>
      </c>
      <c r="C171" s="5">
        <v>8</v>
      </c>
      <c r="D171" s="82">
        <f t="shared" ca="1" si="0"/>
        <v>429.9129981473655</v>
      </c>
      <c r="E171" s="82"/>
      <c r="F171" s="214">
        <f t="shared" ca="1" si="1"/>
        <v>398.9129981473655</v>
      </c>
    </row>
    <row r="172" spans="2:6" x14ac:dyDescent="0.2">
      <c r="B172" s="231" t="e">
        <f ca="1">IF(AND(Altitude_culmi&gt;80, Altitude_culmi&lt;=350), 29, NA())</f>
        <v>#N/A</v>
      </c>
      <c r="C172" s="5">
        <v>7.6</v>
      </c>
      <c r="D172" s="82">
        <f t="shared" ca="1" si="0"/>
        <v>429.51299814736552</v>
      </c>
      <c r="E172" s="82"/>
      <c r="F172" s="214">
        <f t="shared" ca="1" si="1"/>
        <v>413.9129981473655</v>
      </c>
    </row>
    <row r="173" spans="2:6" x14ac:dyDescent="0.2">
      <c r="B173" s="231" t="e">
        <f ca="1">IF(AND(Altitude_culmi&gt;80, Altitude_culmi&lt;=350), 31, NA())</f>
        <v>#N/A</v>
      </c>
      <c r="C173" s="5">
        <v>6.8</v>
      </c>
      <c r="D173" s="82">
        <f t="shared" ca="1" si="0"/>
        <v>428.71299814736551</v>
      </c>
      <c r="E173" s="82"/>
      <c r="F173" s="214">
        <f t="shared" ca="1" si="1"/>
        <v>414.31299814736548</v>
      </c>
    </row>
    <row r="174" spans="2:6" x14ac:dyDescent="0.2">
      <c r="B174" s="231" t="e">
        <f ca="1">IF(AND(Altitude_culmi&gt;80, Altitude_culmi&lt;=350), 32, NA())</f>
        <v>#N/A</v>
      </c>
      <c r="C174" s="5">
        <v>6</v>
      </c>
      <c r="D174" s="82">
        <f t="shared" ca="1" si="0"/>
        <v>427.9129981473655</v>
      </c>
      <c r="E174" s="82"/>
      <c r="F174" s="214">
        <f t="shared" ca="1" si="1"/>
        <v>415.11299814736549</v>
      </c>
    </row>
    <row r="175" spans="2:6" x14ac:dyDescent="0.2">
      <c r="B175" s="231" t="e">
        <f ca="1">IF(AND(Altitude_culmi&gt;80, Altitude_culmi&lt;=350), 33, NA())</f>
        <v>#N/A</v>
      </c>
      <c r="C175" s="5">
        <v>5</v>
      </c>
      <c r="D175" s="82">
        <f t="shared" ca="1" si="0"/>
        <v>426.9129981473655</v>
      </c>
      <c r="E175" s="82"/>
      <c r="F175" s="214">
        <f t="shared" ca="1" si="1"/>
        <v>415.9129981473655</v>
      </c>
    </row>
    <row r="176" spans="2:6" x14ac:dyDescent="0.2">
      <c r="B176" s="231" t="e">
        <f ca="1">IF(AND(Altitude_culmi&gt;80, Altitude_culmi&lt;=350), 34, NA())</f>
        <v>#N/A</v>
      </c>
      <c r="C176" s="5">
        <v>3.8</v>
      </c>
      <c r="D176" s="82">
        <f t="shared" ca="1" si="0"/>
        <v>425.71299814736551</v>
      </c>
      <c r="E176" s="82"/>
      <c r="F176" s="214">
        <f t="shared" ca="1" si="1"/>
        <v>416.9129981473655</v>
      </c>
    </row>
    <row r="177" spans="2:6" x14ac:dyDescent="0.2">
      <c r="B177" s="229" t="e">
        <f ca="1">IF(AND(Altitude_culmi&gt;80, Altitude_culmi&lt;=350), 35, NA())</f>
        <v>#N/A</v>
      </c>
      <c r="C177" s="421">
        <v>0</v>
      </c>
      <c r="D177" s="230">
        <f t="shared" ca="1" si="0"/>
        <v>421.9129981473655</v>
      </c>
      <c r="E177" s="82"/>
      <c r="F177" s="214">
        <f t="shared" ca="1" si="1"/>
        <v>418.11299814736549</v>
      </c>
    </row>
    <row r="178" spans="2:6" x14ac:dyDescent="0.2">
      <c r="E178" s="230"/>
      <c r="F178" s="216">
        <f t="shared" ca="1" si="1"/>
        <v>421.9129981473655</v>
      </c>
    </row>
    <row r="179" spans="2:6" x14ac:dyDescent="0.2">
      <c r="B179" s="210" t="s">
        <v>306</v>
      </c>
      <c r="C179" s="228" t="s">
        <v>307</v>
      </c>
      <c r="D179" s="228" t="s">
        <v>308</v>
      </c>
    </row>
    <row r="180" spans="2:6" x14ac:dyDescent="0.2">
      <c r="B180" s="231">
        <f ca="1">IF(Altitude_culmi&gt;350, 324, NA())</f>
        <v>324</v>
      </c>
      <c r="C180" s="5">
        <v>0</v>
      </c>
      <c r="D180" s="82">
        <f t="shared" ref="D180:D200" ca="1" si="2">X_culmi+C180</f>
        <v>421.9129981473655</v>
      </c>
      <c r="E180" s="228"/>
      <c r="F180" s="211" t="s">
        <v>308</v>
      </c>
    </row>
    <row r="181" spans="2:6" x14ac:dyDescent="0.2">
      <c r="B181" s="231">
        <f ca="1">IF(Altitude_culmi&gt;350, 300, NA())</f>
        <v>300</v>
      </c>
      <c r="C181" s="5">
        <v>0</v>
      </c>
      <c r="D181" s="82">
        <f t="shared" ca="1" si="2"/>
        <v>421.9129981473655</v>
      </c>
      <c r="E181" s="82"/>
      <c r="F181" s="214">
        <f t="shared" ref="F181:F201" ca="1" si="3">X_culmi-C180</f>
        <v>421.9129981473655</v>
      </c>
    </row>
    <row r="182" spans="2:6" x14ac:dyDescent="0.2">
      <c r="B182" s="231">
        <f ca="1">IF(Altitude_culmi&gt;350, 280, NA())</f>
        <v>280</v>
      </c>
      <c r="C182" s="5">
        <v>10</v>
      </c>
      <c r="D182" s="82">
        <f t="shared" ca="1" si="2"/>
        <v>431.9129981473655</v>
      </c>
      <c r="E182" s="82"/>
      <c r="F182" s="214">
        <f t="shared" ca="1" si="3"/>
        <v>421.9129981473655</v>
      </c>
    </row>
    <row r="183" spans="2:6" x14ac:dyDescent="0.2">
      <c r="B183" s="231">
        <f ca="1">IF(Altitude_culmi&gt;350, 280, NA())</f>
        <v>280</v>
      </c>
      <c r="C183" s="5">
        <v>0</v>
      </c>
      <c r="D183" s="82">
        <f t="shared" ca="1" si="2"/>
        <v>421.9129981473655</v>
      </c>
      <c r="E183" s="82"/>
      <c r="F183" s="214">
        <f t="shared" ca="1" si="3"/>
        <v>411.9129981473655</v>
      </c>
    </row>
    <row r="184" spans="2:6" x14ac:dyDescent="0.2">
      <c r="B184" s="231">
        <f ca="1">IF(Altitude_culmi&gt;350, 280, NA())</f>
        <v>280</v>
      </c>
      <c r="C184" s="5">
        <v>10</v>
      </c>
      <c r="D184" s="82">
        <f t="shared" ca="1" si="2"/>
        <v>431.9129981473655</v>
      </c>
      <c r="E184" s="82"/>
      <c r="F184" s="214">
        <f t="shared" ca="1" si="3"/>
        <v>421.9129981473655</v>
      </c>
    </row>
    <row r="185" spans="2:6" x14ac:dyDescent="0.2">
      <c r="B185" s="231">
        <f ca="1">IF(Altitude_culmi&gt;350, 200, NA())</f>
        <v>200</v>
      </c>
      <c r="C185" s="5">
        <v>13</v>
      </c>
      <c r="D185" s="82">
        <f t="shared" ca="1" si="2"/>
        <v>434.9129981473655</v>
      </c>
      <c r="E185" s="82"/>
      <c r="F185" s="214">
        <f t="shared" ca="1" si="3"/>
        <v>411.9129981473655</v>
      </c>
    </row>
    <row r="186" spans="2:6" x14ac:dyDescent="0.2">
      <c r="B186" s="231">
        <f ca="1">IF(Altitude_culmi&gt;350, 160, NA())</f>
        <v>160</v>
      </c>
      <c r="C186" s="5">
        <v>17</v>
      </c>
      <c r="D186" s="82">
        <f t="shared" ca="1" si="2"/>
        <v>438.9129981473655</v>
      </c>
      <c r="E186" s="82"/>
      <c r="F186" s="214">
        <f t="shared" ca="1" si="3"/>
        <v>408.9129981473655</v>
      </c>
    </row>
    <row r="187" spans="2:6" x14ac:dyDescent="0.2">
      <c r="B187" s="231">
        <f ca="1">IF(Altitude_culmi&gt;350, 115, NA())</f>
        <v>115</v>
      </c>
      <c r="C187" s="5">
        <v>20</v>
      </c>
      <c r="D187" s="82">
        <f t="shared" ca="1" si="2"/>
        <v>441.9129981473655</v>
      </c>
      <c r="E187" s="82"/>
      <c r="F187" s="214">
        <f t="shared" ca="1" si="3"/>
        <v>404.9129981473655</v>
      </c>
    </row>
    <row r="188" spans="2:6" x14ac:dyDescent="0.2">
      <c r="B188" s="231">
        <f ca="1">IF(Altitude_culmi&gt;350, 90, NA())</f>
        <v>90</v>
      </c>
      <c r="C188" s="5">
        <v>25</v>
      </c>
      <c r="D188" s="82">
        <f t="shared" ca="1" si="2"/>
        <v>446.9129981473655</v>
      </c>
      <c r="E188" s="82"/>
      <c r="F188" s="214">
        <f t="shared" ca="1" si="3"/>
        <v>401.9129981473655</v>
      </c>
    </row>
    <row r="189" spans="2:6" x14ac:dyDescent="0.2">
      <c r="B189" s="231">
        <f ca="1">IF(Altitude_culmi&gt;350, 57, NA())</f>
        <v>57</v>
      </c>
      <c r="C189" s="5">
        <v>30</v>
      </c>
      <c r="D189" s="82">
        <f t="shared" ca="1" si="2"/>
        <v>451.9129981473655</v>
      </c>
      <c r="E189" s="82"/>
      <c r="F189" s="214">
        <f t="shared" ca="1" si="3"/>
        <v>396.9129981473655</v>
      </c>
    </row>
    <row r="190" spans="2:6" x14ac:dyDescent="0.2">
      <c r="B190" s="231">
        <f ca="1">IF(Altitude_culmi&gt;350, 40, NA())</f>
        <v>40</v>
      </c>
      <c r="C190" s="5">
        <v>36</v>
      </c>
      <c r="D190" s="82">
        <f t="shared" ca="1" si="2"/>
        <v>457.9129981473655</v>
      </c>
      <c r="E190" s="82"/>
      <c r="F190" s="214">
        <f t="shared" ca="1" si="3"/>
        <v>391.9129981473655</v>
      </c>
    </row>
    <row r="191" spans="2:6" x14ac:dyDescent="0.2">
      <c r="B191" s="231">
        <f ca="1">IF(Altitude_culmi&gt;350, 20, NA())</f>
        <v>20</v>
      </c>
      <c r="C191" s="5">
        <v>48</v>
      </c>
      <c r="D191" s="82">
        <f t="shared" ca="1" si="2"/>
        <v>469.9129981473655</v>
      </c>
      <c r="E191" s="82"/>
      <c r="F191" s="214">
        <f t="shared" ca="1" si="3"/>
        <v>385.9129981473655</v>
      </c>
    </row>
    <row r="192" spans="2:6" x14ac:dyDescent="0.2">
      <c r="B192" s="231">
        <f ca="1">IF(Altitude_culmi&gt;350, 0.5, NA())</f>
        <v>0.5</v>
      </c>
      <c r="C192" s="5">
        <v>62</v>
      </c>
      <c r="D192" s="82">
        <f t="shared" ca="1" si="2"/>
        <v>483.9129981473655</v>
      </c>
      <c r="E192" s="82"/>
      <c r="F192" s="214">
        <f t="shared" ca="1" si="3"/>
        <v>373.9129981473655</v>
      </c>
    </row>
    <row r="193" spans="2:6" x14ac:dyDescent="0.2">
      <c r="B193" s="231">
        <f ca="1">IF(Altitude_culmi&gt;350, 0.5, NA())</f>
        <v>0.5</v>
      </c>
      <c r="C193" s="5">
        <v>37</v>
      </c>
      <c r="D193" s="82">
        <f t="shared" ca="1" si="2"/>
        <v>458.9129981473655</v>
      </c>
      <c r="E193" s="82"/>
      <c r="F193" s="214">
        <f t="shared" ca="1" si="3"/>
        <v>359.9129981473655</v>
      </c>
    </row>
    <row r="194" spans="2:6" x14ac:dyDescent="0.2">
      <c r="B194" s="231">
        <f ca="1">IF(Altitude_culmi&gt;350, 15, NA())</f>
        <v>15</v>
      </c>
      <c r="C194" s="5">
        <v>30</v>
      </c>
      <c r="D194" s="82">
        <f t="shared" ca="1" si="2"/>
        <v>451.9129981473655</v>
      </c>
      <c r="E194" s="82"/>
      <c r="F194" s="214">
        <f t="shared" ca="1" si="3"/>
        <v>384.9129981473655</v>
      </c>
    </row>
    <row r="195" spans="2:6" x14ac:dyDescent="0.2">
      <c r="B195" s="231">
        <f ca="1">IF(Altitude_culmi&gt;350, 30, NA())</f>
        <v>30</v>
      </c>
      <c r="C195" s="5">
        <v>15</v>
      </c>
      <c r="D195" s="82">
        <f t="shared" ca="1" si="2"/>
        <v>436.9129981473655</v>
      </c>
      <c r="E195" s="82"/>
      <c r="F195" s="214">
        <f t="shared" ca="1" si="3"/>
        <v>391.9129981473655</v>
      </c>
    </row>
    <row r="196" spans="2:6" x14ac:dyDescent="0.2">
      <c r="B196" s="231">
        <f ca="1">IF(Altitude_culmi&gt;350, 37, NA())</f>
        <v>37</v>
      </c>
      <c r="C196" s="5">
        <v>0</v>
      </c>
      <c r="D196" s="82">
        <f t="shared" ca="1" si="2"/>
        <v>421.9129981473655</v>
      </c>
      <c r="E196" s="82"/>
      <c r="F196" s="214">
        <f t="shared" ca="1" si="3"/>
        <v>406.9129981473655</v>
      </c>
    </row>
    <row r="197" spans="2:6" x14ac:dyDescent="0.2">
      <c r="B197" s="231">
        <f ca="1">IF(Altitude_culmi&gt;350, 67, NA())</f>
        <v>67</v>
      </c>
      <c r="C197" s="5">
        <v>0</v>
      </c>
      <c r="D197" s="82">
        <f t="shared" ca="1" si="2"/>
        <v>421.9129981473655</v>
      </c>
      <c r="E197" s="82"/>
      <c r="F197" s="214">
        <f t="shared" ca="1" si="3"/>
        <v>421.9129981473655</v>
      </c>
    </row>
    <row r="198" spans="2:6" x14ac:dyDescent="0.2">
      <c r="B198" s="231">
        <f ca="1">IF(Altitude_culmi&gt;350, 67, NA())</f>
        <v>67</v>
      </c>
      <c r="C198" s="5">
        <v>17</v>
      </c>
      <c r="D198" s="82">
        <f t="shared" ca="1" si="2"/>
        <v>438.9129981473655</v>
      </c>
      <c r="E198" s="82"/>
      <c r="F198" s="214">
        <f t="shared" ca="1" si="3"/>
        <v>421.9129981473655</v>
      </c>
    </row>
    <row r="199" spans="2:6" x14ac:dyDescent="0.2">
      <c r="B199" s="231">
        <f ca="1">IF(Altitude_culmi&gt;350, 100, NA())</f>
        <v>100</v>
      </c>
      <c r="C199" s="5">
        <v>11</v>
      </c>
      <c r="D199" s="82">
        <f t="shared" ca="1" si="2"/>
        <v>432.9129981473655</v>
      </c>
      <c r="E199" s="82"/>
      <c r="F199" s="214">
        <f t="shared" ca="1" si="3"/>
        <v>404.9129981473655</v>
      </c>
    </row>
    <row r="200" spans="2:6" x14ac:dyDescent="0.2">
      <c r="B200" s="229">
        <f ca="1">IF(Altitude_culmi&gt;350, 100, NA())</f>
        <v>100</v>
      </c>
      <c r="C200" s="421">
        <v>0</v>
      </c>
      <c r="D200" s="230">
        <f t="shared" ca="1" si="2"/>
        <v>421.9129981473655</v>
      </c>
      <c r="E200" s="82"/>
      <c r="F200" s="214">
        <f t="shared" ca="1" si="3"/>
        <v>410.9129981473655</v>
      </c>
    </row>
    <row r="201" spans="2:6" x14ac:dyDescent="0.2">
      <c r="E201" s="230"/>
      <c r="F201" s="216">
        <f t="shared" ca="1" si="3"/>
        <v>421.9129981473655</v>
      </c>
    </row>
  </sheetData>
  <sheetProtection algorithmName="SHA-512" hashValue="54/g8dQ2RC65LqncMwJ2cd0LY+Ermcd3MHxRhdQ+5eIlTGzg9ayjpzMYUZU3QN55EKjPPfR4x04d0m+MFsILQw==" saltValue="8KZEyW6NBSE9XCBw0cMAWg==" spinCount="100000" sheet="1" objects="1" scenarios="1"/>
  <protectedRanges>
    <protectedRange sqref="C26" name="Plage1"/>
  </protectedRanges>
  <mergeCells count="43">
    <mergeCell ref="C10:D10"/>
    <mergeCell ref="C5:D5"/>
    <mergeCell ref="C2:D3"/>
    <mergeCell ref="C7:D7"/>
    <mergeCell ref="C8:D8"/>
    <mergeCell ref="C9:D9"/>
    <mergeCell ref="C6:D6"/>
    <mergeCell ref="C4:D4"/>
    <mergeCell ref="H35:I35"/>
    <mergeCell ref="H34:I34"/>
    <mergeCell ref="F29:G29"/>
    <mergeCell ref="H33:I33"/>
    <mergeCell ref="A40:D40"/>
    <mergeCell ref="H36:I36"/>
    <mergeCell ref="F36:G36"/>
    <mergeCell ref="F35:G35"/>
    <mergeCell ref="F34:G34"/>
    <mergeCell ref="F40:G40"/>
    <mergeCell ref="C23:D23"/>
    <mergeCell ref="C18:D18"/>
    <mergeCell ref="F24:G24"/>
    <mergeCell ref="F28:G28"/>
    <mergeCell ref="F27:G27"/>
    <mergeCell ref="F25:G25"/>
    <mergeCell ref="F26:G26"/>
    <mergeCell ref="C16:D16"/>
    <mergeCell ref="C11:D11"/>
    <mergeCell ref="C20:D20"/>
    <mergeCell ref="C21:D21"/>
    <mergeCell ref="C12:D12"/>
    <mergeCell ref="C14:D14"/>
    <mergeCell ref="C15:D15"/>
    <mergeCell ref="C19:D19"/>
    <mergeCell ref="F51:G51"/>
    <mergeCell ref="F42:G42"/>
    <mergeCell ref="F43:G43"/>
    <mergeCell ref="F44:G44"/>
    <mergeCell ref="F45:G45"/>
    <mergeCell ref="F50:G50"/>
    <mergeCell ref="F46:G46"/>
    <mergeCell ref="F47:G47"/>
    <mergeCell ref="F49:G49"/>
    <mergeCell ref="F48:G48"/>
  </mergeCells>
  <phoneticPr fontId="8" type="noConversion"/>
  <conditionalFormatting sqref="C27">
    <cfRule type="expression" dxfId="25" priority="247" stopIfTrue="1">
      <formula>NOT(OR(C26=F110,C26=F104))</formula>
    </cfRule>
  </conditionalFormatting>
  <conditionalFormatting sqref="C32">
    <cfRule type="cellIs" dxfId="24" priority="42" stopIfTrue="1" operator="notBetween">
      <formula>5</formula>
      <formula>15</formula>
    </cfRule>
  </conditionalFormatting>
  <conditionalFormatting sqref="D25">
    <cfRule type="expression" dxfId="23" priority="39" stopIfTrue="1">
      <formula>Nb_sat="0 satellite"</formula>
    </cfRule>
  </conditionalFormatting>
  <conditionalFormatting sqref="D26">
    <cfRule type="expression" dxfId="22" priority="2" stopIfTrue="1">
      <formula>Nb_sat="0 satellite"</formula>
    </cfRule>
  </conditionalFormatting>
  <conditionalFormatting sqref="D27:D31 D33:D35">
    <cfRule type="expression" dxfId="21" priority="59" stopIfTrue="1">
      <formula>Nb_sat="0 satellite"</formula>
    </cfRule>
  </conditionalFormatting>
  <conditionalFormatting sqref="D32">
    <cfRule type="expression" dxfId="20" priority="40" stopIfTrue="1">
      <formula>Nb_sat="0 satellite"</formula>
    </cfRule>
    <cfRule type="cellIs" dxfId="19" priority="49" stopIfTrue="1" operator="notBetween">
      <formula>5</formula>
      <formula>15</formula>
    </cfRule>
  </conditionalFormatting>
  <conditionalFormatting sqref="F26">
    <cfRule type="expression" dxfId="18" priority="26" stopIfTrue="1">
      <formula>Nb_sat="0 satellite"</formula>
    </cfRule>
  </conditionalFormatting>
  <conditionalFormatting sqref="F36:I36 F50:M50">
    <cfRule type="expression" dxfId="17" priority="22" stopIfTrue="1">
      <formula>Nb_sat="0 satellite"</formula>
    </cfRule>
  </conditionalFormatting>
  <conditionalFormatting sqref="F51:M51">
    <cfRule type="expression" dxfId="16" priority="21" stopIfTrue="1">
      <formula>Nb_sat="0 satellite"</formula>
    </cfRule>
  </conditionalFormatting>
  <conditionalFormatting sqref="H28 H48">
    <cfRule type="expression" dxfId="15" priority="4" stopIfTrue="1">
      <formula>ABS(Temps_culmi-T_para)&gt;2</formula>
    </cfRule>
  </conditionalFormatting>
  <conditionalFormatting sqref="H34:I34">
    <cfRule type="cellIs" dxfId="14" priority="14" stopIfTrue="1" operator="equal">
      <formula>"Brun/Orange…"</formula>
    </cfRule>
  </conditionalFormatting>
  <conditionalFormatting sqref="H35:I35">
    <cfRule type="cellIs" dxfId="13" priority="13" stopIfTrue="1" operator="equal">
      <formula>"Rouge…"</formula>
    </cfRule>
  </conditionalFormatting>
  <conditionalFormatting sqref="H26:M26">
    <cfRule type="expression" dxfId="12" priority="41" stopIfTrue="1">
      <formula>Nb_sat="0 satellite"</formula>
    </cfRule>
  </conditionalFormatting>
  <conditionalFormatting sqref="J29 J47">
    <cfRule type="expression" dxfId="11" priority="6" stopIfTrue="1">
      <formula>AND(Portee_balistique&gt;200,LEFT(Type_propu,4)="Mini")</formula>
    </cfRule>
  </conditionalFormatting>
  <conditionalFormatting sqref="K24 K43">
    <cfRule type="expression" dxfId="10" priority="44" stopIfTrue="1">
      <formula>AND(Vsortie_de_rampe&lt;18, OR(LEFT(Type_fusee,1)=",",LEFT(Type_fusee,4)="Mini",LEFT(Type_fusee,1)="R"))</formula>
    </cfRule>
    <cfRule type="expression" dxfId="9" priority="45" stopIfTrue="1">
      <formula>AND(Vsortie_de_rampe&lt;20, RIGHT(Type_fusee,1)=".")</formula>
    </cfRule>
  </conditionalFormatting>
  <conditionalFormatting sqref="K42">
    <cfRule type="expression" dxfId="8" priority="34" stopIfTrue="1">
      <formula>AND( $K$22=0, OR( $I$22&gt;0, $J$22&gt;0 ) )</formula>
    </cfRule>
  </conditionalFormatting>
  <conditionalFormatting sqref="N35">
    <cfRule type="expression" dxfId="7" priority="15" stopIfTrue="1">
      <formula>ROUND(SUM(C24:L36),0)=2221</formula>
    </cfRule>
  </conditionalFormatting>
  <conditionalFormatting sqref="N36">
    <cfRule type="expression" dxfId="6" priority="244" stopIfTrue="1">
      <formula>$N$36="propu NOK"</formula>
    </cfRule>
  </conditionalFormatting>
  <dataValidations count="15">
    <dataValidation type="decimal" operator="greaterThanOrEqual" showErrorMessage="1" sqref="H42:K42 C31 D27:D29 C27" xr:uid="{00000000-0002-0000-0100-000000000000}">
      <formula1>0</formula1>
    </dataValidation>
    <dataValidation type="list" allowBlank="1" showInputMessage="1" showErrorMessage="1" sqref="H52" xr:uid="{00000000-0002-0000-0100-000001000000}">
      <formula1>gao</formula1>
    </dataValidation>
    <dataValidation operator="greaterThanOrEqual" showErrorMessage="1" sqref="D31 C29" xr:uid="{00000000-0002-0000-0100-000002000000}"/>
    <dataValidation type="decimal" errorStyle="warning" allowBlank="1" showErrorMessage="1" errorTitle="Cx para" error="Le Cx du parachute est souvent compris entre 0 et 2._x000a_Cx of parachute might be between 0 a 2." sqref="C30:D30" xr:uid="{00000000-0002-0000-0100-000003000000}">
      <formula1>0</formula1>
      <formula2>2</formula2>
    </dataValidation>
    <dataValidation sqref="C12:D12" xr:uid="{00000000-0002-0000-0100-000004000000}"/>
    <dataValidation operator="greaterThanOrEqual" sqref="C11:D11" xr:uid="{00000000-0002-0000-0100-000005000000}"/>
    <dataValidation type="decimal" errorStyle="warning" showErrorMessage="1" errorTitle="Cx" error="Le Cx est souvent compris entre 0,3 et 0,7._x000a_Cx may be between 0,3 &amp; 0,7." sqref="C16:D16" xr:uid="{00000000-0002-0000-0100-000006000000}">
      <formula1>0.3</formula1>
      <formula2>0.7</formula2>
    </dataValidation>
    <dataValidation type="decimal" operator="greaterThanOrEqual" allowBlank="1" showErrorMessage="1" sqref="C19:D19"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20:D20" xr:uid="{00000000-0002-0000-0100-000008000000}">
      <formula1>75</formula1>
      <formula2>85</formula2>
    </dataValidation>
    <dataValidation type="whole" operator="greaterThanOrEqual" allowBlank="1" showErrorMessage="1" sqref="C21:D21" xr:uid="{00000000-0002-0000-0100-000009000000}">
      <formula1>0</formula1>
    </dataValidation>
    <dataValidation type="whole" allowBlank="1" showErrorMessage="1" sqref="M42" xr:uid="{00000000-0002-0000-0100-00000A000000}">
      <formula1>-360</formula1>
      <formula2>360</formula2>
    </dataValidation>
    <dataValidation type="list" showInputMessage="1" showErrorMessage="1" sqref="D24" xr:uid="{00000000-0002-0000-0100-00000B000000}">
      <formula1>Menu_sat</formula1>
    </dataValidation>
    <dataValidation type="whole" operator="greaterThanOrEqual" showErrorMessage="1" sqref="B44 B46 B52 B54" xr:uid="{00000000-0002-0000-0100-00000C000000}">
      <formula1>0</formula1>
    </dataValidation>
    <dataValidation type="list" showInputMessage="1" showErrorMessage="1" sqref="C26" xr:uid="{00000000-0002-0000-0100-00000D000000}">
      <formula1>IF(Depotage&lt;&gt;0,IF(LEFT(Type_propu,5)="Micro",$F$110,$F$105:$F$110),$F$104)</formula1>
    </dataValidation>
    <dataValidation type="list" operator="greaterThanOrEqual" showErrorMessage="1" sqref="C28" xr:uid="{901BEB42-9630-4910-AFF4-B844211D2B99}">
      <formula1>Liste_Type_para</formula1>
    </dataValidation>
  </dataValidations>
  <hyperlinks>
    <hyperlink ref="B12"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7:B133 B139:B150 C152 C154 C139:C141 C143:C150 C127:C133" formula="1"/>
    <ignoredError sqref="H46:I46 H49 J46:M46" evalError="1"/>
    <ignoredError sqref="G105:G109" numberStoredAsText="1"/>
    <ignoredError sqref="D25"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28575</xdr:colOff>
                <xdr:row>94</xdr:row>
                <xdr:rowOff>76200</xdr:rowOff>
              </from>
              <to>
                <xdr:col>3</xdr:col>
                <xdr:colOff>762000</xdr:colOff>
                <xdr:row>100</xdr:row>
                <xdr:rowOff>95250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647700</xdr:colOff>
                    <xdr:row>9</xdr:row>
                    <xdr:rowOff>161925</xdr:rowOff>
                  </from>
                  <to>
                    <xdr:col>4</xdr:col>
                    <xdr:colOff>0</xdr:colOff>
                    <xdr:row>11</xdr:row>
                    <xdr:rowOff>9525</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43</xdr:row>
                    <xdr:rowOff>9525</xdr:rowOff>
                  </from>
                  <to>
                    <xdr:col>2</xdr:col>
                    <xdr:colOff>0</xdr:colOff>
                    <xdr:row>44</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45</xdr:row>
                    <xdr:rowOff>9525</xdr:rowOff>
                  </from>
                  <to>
                    <xdr:col>2</xdr:col>
                    <xdr:colOff>0</xdr:colOff>
                    <xdr:row>46</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51</xdr:row>
                    <xdr:rowOff>9525</xdr:rowOff>
                  </from>
                  <to>
                    <xdr:col>2</xdr:col>
                    <xdr:colOff>0</xdr:colOff>
                    <xdr:row>52</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53</xdr:row>
                    <xdr:rowOff>9525</xdr:rowOff>
                  </from>
                  <to>
                    <xdr:col>2</xdr:col>
                    <xdr:colOff>0</xdr:colOff>
                    <xdr:row>54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election activeCell="M48" sqref="M48"/>
    </sheetView>
  </sheetViews>
  <sheetFormatPr baseColWidth="10" defaultRowHeight="12.75" x14ac:dyDescent="0.2"/>
  <sheetData>
    <row r="75" spans="2:2" x14ac:dyDescent="0.2">
      <c r="B75" t="s">
        <v>43</v>
      </c>
    </row>
    <row r="76" spans="2:2" x14ac:dyDescent="0.2">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
      <c r="B131" s="24" t="str">
        <f>IF(Lang="Français","Textes pour les graphiques :","Texts for graphics :")</f>
        <v>Textes pour les graphiques :</v>
      </c>
    </row>
    <row r="133" spans="2:2" x14ac:dyDescent="0.2">
      <c r="B133" t="str">
        <f>IF(Lang="Français","Traînée",IF(Lang="English","Drag",""))</f>
        <v>Traînée</v>
      </c>
    </row>
    <row r="134" spans="2:2" x14ac:dyDescent="0.2">
      <c r="B134" t="str">
        <f>IF(Lang="Français","Poussée",IF(Lang="English","Thrust",""))</f>
        <v>Poussée</v>
      </c>
    </row>
    <row r="135" spans="2:2" x14ac:dyDescent="0.2">
      <c r="B135" t="str">
        <f>IF(Lang="Français","Poids",IF(Lang="English","Weight",""))</f>
        <v>Poids</v>
      </c>
    </row>
    <row r="137" spans="2:2" x14ac:dyDescent="0.2">
      <c r="B137" t="str">
        <f>IF(Lang="Français","Accélération longitudinale",IF(Lang="English","Longitudinal Acceleration",""))</f>
        <v>Accélération longitudinale</v>
      </c>
    </row>
    <row r="138" spans="2:2" x14ac:dyDescent="0.2">
      <c r="B138" t="str">
        <f>IF(Lang="Français","Charge vue par un capteur",IF(Lang="English","Load seen by a sensor",""))</f>
        <v>Charge vue par un capteur</v>
      </c>
    </row>
    <row r="140" spans="2:2" x14ac:dyDescent="0.2">
      <c r="B140" t="str">
        <f>IF(Lang="Français","Vitesse",IF(Lang="English","Velocity",""))</f>
        <v>Vitesse</v>
      </c>
    </row>
    <row r="141" spans="2:2" x14ac:dyDescent="0.2">
      <c r="B141" t="str">
        <f>IF(Lang="Français","Vitesse [m/s]",IF(Lang="English","Velocity [m/s]",""))</f>
        <v>Vitesse [m/s]</v>
      </c>
    </row>
    <row r="143" spans="2:2" x14ac:dyDescent="0.2">
      <c r="B143" t="s">
        <v>6</v>
      </c>
    </row>
    <row r="144" spans="2:2" x14ac:dyDescent="0.2">
      <c r="B144" t="str">
        <f>IF(Lang="Français","Portée",IF(Lang="English","Range",""))</f>
        <v>Portée</v>
      </c>
    </row>
    <row r="146" spans="2:2" x14ac:dyDescent="0.2">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zoomScale="80" zoomScaleNormal="80" workbookViewId="0">
      <selection activeCell="B2" sqref="B2"/>
    </sheetView>
  </sheetViews>
  <sheetFormatPr baseColWidth="10" defaultRowHeight="12.75" x14ac:dyDescent="0.2"/>
  <cols>
    <col min="1" max="1" width="22.5703125" bestFit="1" customWidth="1"/>
  </cols>
  <sheetData>
    <row r="1" spans="1:26" ht="13.5" thickBot="1" x14ac:dyDescent="0.25">
      <c r="A1" s="362" t="str">
        <f>IF(Lang="Français","Moteur sélectionné","Selected motor")</f>
        <v>Moteur sélectionné</v>
      </c>
      <c r="B1" s="362" t="s">
        <v>32</v>
      </c>
    </row>
    <row r="2" spans="1:26" ht="13.5" thickBot="1" x14ac:dyDescent="0.25">
      <c r="A2" s="352" t="str">
        <f>Propu</f>
        <v>Pro54-5G WT</v>
      </c>
      <c r="B2" s="352">
        <f>VLOOKUP(A2,A26:B314,2,FALSE)</f>
        <v>284</v>
      </c>
      <c r="C2" s="363" t="s">
        <v>115</v>
      </c>
      <c r="D2" s="353">
        <f ca="1">INDIRECT(ADDRESS(B2,4))</f>
        <v>1998.2428999999995</v>
      </c>
      <c r="E2" s="363" t="s">
        <v>114</v>
      </c>
      <c r="F2" s="354">
        <f ca="1">INDIRECT(ADDRESS(B2,6))</f>
        <v>207.42819268753979</v>
      </c>
      <c r="G2" s="363" t="s">
        <v>56</v>
      </c>
      <c r="H2" s="355">
        <f ca="1">INDIRECT(ADDRESS(B2,8))</f>
        <v>1.6319999999999999</v>
      </c>
      <c r="I2" s="363" t="s">
        <v>273</v>
      </c>
      <c r="J2" s="356">
        <f ca="1">INDIRECT(ADDRESS(B2,10))</f>
        <v>0.98199999999999987</v>
      </c>
      <c r="K2" s="363" t="s">
        <v>58</v>
      </c>
      <c r="L2" s="355">
        <f ca="1">INDIRECT(ADDRESS(B2,12))</f>
        <v>0.65</v>
      </c>
      <c r="M2" s="363" t="s">
        <v>57</v>
      </c>
      <c r="N2" s="357">
        <f ca="1">INDIRECT(ADDRESS(B2,14))</f>
        <v>250</v>
      </c>
      <c r="O2" s="363" t="s">
        <v>59</v>
      </c>
      <c r="P2" s="357">
        <f ca="1">INDIRECT(ADDRESS(B2,16))</f>
        <v>240</v>
      </c>
      <c r="Q2" s="363" t="s">
        <v>60</v>
      </c>
      <c r="R2" s="357">
        <f ca="1">INDIRECT(ADDRESS(B2,18))</f>
        <v>488</v>
      </c>
      <c r="S2" s="363" t="s">
        <v>61</v>
      </c>
      <c r="T2" s="357">
        <f ca="1">INDIRECT(ADDRESS(B2,20))</f>
        <v>54</v>
      </c>
      <c r="U2" s="363" t="s">
        <v>54</v>
      </c>
      <c r="V2" s="358" t="str">
        <f ca="1">INDIRECT(ADDRESS(B2,22))</f>
        <v>Fusex</v>
      </c>
      <c r="W2" s="463" t="s">
        <v>394</v>
      </c>
      <c r="X2" s="464">
        <f ca="1">INDIRECT(ADDRESS(B2,24))</f>
        <v>0</v>
      </c>
      <c r="Y2" s="463" t="s">
        <v>393</v>
      </c>
      <c r="Z2" s="358">
        <f ca="1">INDIRECT(ADDRESS(B2,26))</f>
        <v>0</v>
      </c>
    </row>
    <row r="3" spans="1:26" x14ac:dyDescent="0.2">
      <c r="A3" s="362" t="str">
        <f>IF(Lang="Français","Temps (en s)","Time (s)")</f>
        <v>Temps (en s)</v>
      </c>
      <c r="B3" s="364">
        <f t="shared" ref="B3:Y3" ca="1" si="0">INDIRECT(ADDRESS($B2+1,COLUMN(B3)))</f>
        <v>0</v>
      </c>
      <c r="C3" s="365">
        <f t="shared" ca="1" si="0"/>
        <v>0.01</v>
      </c>
      <c r="D3" s="365">
        <f t="shared" ca="1" si="0"/>
        <v>0.02</v>
      </c>
      <c r="E3" s="365">
        <f t="shared" ca="1" si="0"/>
        <v>0.05</v>
      </c>
      <c r="F3" s="365">
        <f t="shared" ca="1" si="0"/>
        <v>0.1</v>
      </c>
      <c r="G3" s="365">
        <f t="shared" ca="1" si="0"/>
        <v>0.2</v>
      </c>
      <c r="H3" s="365">
        <f t="shared" ca="1" si="0"/>
        <v>0.4</v>
      </c>
      <c r="I3" s="365">
        <f t="shared" ca="1" si="0"/>
        <v>0.8</v>
      </c>
      <c r="J3" s="365">
        <f t="shared" ca="1" si="0"/>
        <v>0.9</v>
      </c>
      <c r="K3" s="365">
        <f t="shared" ca="1" si="0"/>
        <v>1</v>
      </c>
      <c r="L3" s="365">
        <f t="shared" ca="1" si="0"/>
        <v>1.1000000000000001</v>
      </c>
      <c r="M3" s="365">
        <f t="shared" ca="1" si="0"/>
        <v>1.2</v>
      </c>
      <c r="N3" s="365">
        <f t="shared" ca="1" si="0"/>
        <v>1.3</v>
      </c>
      <c r="O3" s="365">
        <f t="shared" ca="1" si="0"/>
        <v>1.4</v>
      </c>
      <c r="P3" s="365">
        <f t="shared" ca="1" si="0"/>
        <v>1.55</v>
      </c>
      <c r="Q3" s="365">
        <f t="shared" ca="1" si="0"/>
        <v>1.6</v>
      </c>
      <c r="R3" s="365">
        <f t="shared" ca="1" si="0"/>
        <v>1.62</v>
      </c>
      <c r="S3" s="365">
        <f t="shared" ca="1" si="0"/>
        <v>1.64</v>
      </c>
      <c r="T3" s="365">
        <f t="shared" ca="1" si="0"/>
        <v>1.66</v>
      </c>
      <c r="U3" s="365">
        <f t="shared" ca="1" si="0"/>
        <v>1.67</v>
      </c>
      <c r="V3" s="365">
        <f t="shared" ca="1" si="0"/>
        <v>1.68</v>
      </c>
      <c r="W3" s="365">
        <f t="shared" ca="1" si="0"/>
        <v>1.69</v>
      </c>
      <c r="X3" s="365">
        <f ca="1">INDIRECT(ADDRESS($B2+1,COLUMN(X3)))</f>
        <v>1.7</v>
      </c>
      <c r="Y3" s="366">
        <f t="shared" ca="1" si="0"/>
        <v>1000</v>
      </c>
    </row>
    <row r="4" spans="1:26" ht="13.5" thickBot="1" x14ac:dyDescent="0.25">
      <c r="A4" s="379" t="str">
        <f>IF(Lang="Français","Poussée (en N)","Thrust (N)")</f>
        <v>Poussée (en N)</v>
      </c>
      <c r="B4" s="367">
        <f t="shared" ref="B4:Y4" ca="1" si="1">INDIRECT(ADDRESS($B2+2,COLUMN(B3)))</f>
        <v>0</v>
      </c>
      <c r="C4" s="368">
        <f t="shared" ca="1" si="1"/>
        <v>492.25</v>
      </c>
      <c r="D4" s="368">
        <f t="shared" ca="1" si="1"/>
        <v>1369.46</v>
      </c>
      <c r="E4" s="368">
        <f t="shared" ca="1" si="1"/>
        <v>1236.01</v>
      </c>
      <c r="F4" s="368">
        <f t="shared" ca="1" si="1"/>
        <v>1279.47</v>
      </c>
      <c r="G4" s="368">
        <f t="shared" ca="1" si="1"/>
        <v>1311.39</v>
      </c>
      <c r="H4" s="368">
        <f t="shared" ca="1" si="1"/>
        <v>1331.39</v>
      </c>
      <c r="I4" s="368">
        <f t="shared" ca="1" si="1"/>
        <v>1304.08</v>
      </c>
      <c r="J4" s="368">
        <f t="shared" ca="1" si="1"/>
        <v>1280.6199999999999</v>
      </c>
      <c r="K4" s="368">
        <f t="shared" ca="1" si="1"/>
        <v>1249.8599999999999</v>
      </c>
      <c r="L4" s="368">
        <f t="shared" ca="1" si="1"/>
        <v>1217.94</v>
      </c>
      <c r="M4" s="368">
        <f t="shared" ca="1" si="1"/>
        <v>1199.29</v>
      </c>
      <c r="N4" s="368">
        <f t="shared" ca="1" si="1"/>
        <v>1158.77</v>
      </c>
      <c r="O4" s="368">
        <f t="shared" ca="1" si="1"/>
        <v>1112.56</v>
      </c>
      <c r="P4" s="368">
        <f t="shared" ca="1" si="1"/>
        <v>941.81</v>
      </c>
      <c r="Q4" s="368">
        <f t="shared" ca="1" si="1"/>
        <v>726.07</v>
      </c>
      <c r="R4" s="368">
        <f t="shared" ca="1" si="1"/>
        <v>559.16999999999996</v>
      </c>
      <c r="S4" s="368">
        <f t="shared" ca="1" si="1"/>
        <v>399.95</v>
      </c>
      <c r="T4" s="368">
        <f t="shared" ca="1" si="1"/>
        <v>317.66000000000003</v>
      </c>
      <c r="U4" s="368">
        <f t="shared" ca="1" si="1"/>
        <v>247.28</v>
      </c>
      <c r="V4" s="368">
        <f t="shared" ca="1" si="1"/>
        <v>198.05</v>
      </c>
      <c r="W4" s="368">
        <f t="shared" ca="1" si="1"/>
        <v>67.3</v>
      </c>
      <c r="X4" s="368">
        <f ca="1">INDIRECT(ADDRESS($B2+2,COLUMN(X3)))</f>
        <v>0</v>
      </c>
      <c r="Y4" s="369">
        <f t="shared" ca="1" si="1"/>
        <v>0</v>
      </c>
    </row>
    <row r="5" spans="1:26" x14ac:dyDescent="0.2">
      <c r="B5" s="12"/>
      <c r="C5" s="12"/>
      <c r="D5" s="12"/>
      <c r="E5" s="12"/>
      <c r="F5" s="12"/>
      <c r="G5" s="12"/>
      <c r="H5" s="12"/>
      <c r="I5" s="12"/>
      <c r="J5" s="12"/>
      <c r="K5" s="12"/>
      <c r="L5" s="12"/>
      <c r="M5" s="12"/>
      <c r="N5" s="12"/>
      <c r="O5" s="12"/>
      <c r="P5" s="12"/>
      <c r="Q5" s="12"/>
      <c r="R5" s="12"/>
      <c r="S5" s="12"/>
      <c r="T5" s="12"/>
      <c r="U5" s="12"/>
      <c r="V5" s="12"/>
      <c r="W5" s="12"/>
      <c r="X5" s="12"/>
      <c r="Y5" s="12"/>
    </row>
    <row r="6" spans="1:26" x14ac:dyDescent="0.2">
      <c r="B6" s="12"/>
      <c r="C6" s="12"/>
      <c r="D6" s="12"/>
      <c r="E6" s="12"/>
      <c r="F6" s="12"/>
      <c r="G6" s="12"/>
      <c r="H6" s="12"/>
      <c r="I6" s="12"/>
      <c r="J6" s="12"/>
      <c r="K6" s="12"/>
      <c r="L6" s="12"/>
      <c r="M6" s="12"/>
      <c r="N6" s="12"/>
      <c r="O6" s="12"/>
      <c r="P6" s="12"/>
      <c r="Q6" s="12"/>
      <c r="R6" s="12"/>
      <c r="S6" s="12"/>
      <c r="T6" s="12"/>
      <c r="U6" s="12"/>
      <c r="V6" s="12"/>
      <c r="W6" s="12"/>
      <c r="X6" s="12"/>
      <c r="Y6" s="12"/>
    </row>
    <row r="7" spans="1:26" x14ac:dyDescent="0.2">
      <c r="B7" s="12"/>
      <c r="C7" s="12"/>
      <c r="D7" s="12"/>
      <c r="E7" s="12"/>
      <c r="F7" s="12"/>
      <c r="G7" s="12"/>
      <c r="H7" s="12"/>
      <c r="I7" s="12"/>
      <c r="J7" s="12"/>
      <c r="K7" s="12"/>
      <c r="L7" s="12"/>
      <c r="M7" s="12"/>
    </row>
    <row r="8" spans="1:26" x14ac:dyDescent="0.2">
      <c r="B8" s="12"/>
      <c r="C8" s="12"/>
      <c r="D8" s="12"/>
      <c r="E8" s="12"/>
      <c r="F8" s="12"/>
      <c r="G8" s="12"/>
      <c r="H8" s="12"/>
      <c r="I8" s="12"/>
      <c r="J8" s="12"/>
      <c r="K8" s="12"/>
      <c r="L8" s="12"/>
      <c r="M8" s="12"/>
    </row>
    <row r="9" spans="1:26" x14ac:dyDescent="0.2">
      <c r="B9" s="12"/>
      <c r="C9" s="12"/>
      <c r="D9" s="12"/>
      <c r="E9" s="12"/>
      <c r="F9" s="12"/>
      <c r="G9" s="12"/>
      <c r="H9" s="12"/>
      <c r="I9" s="12"/>
      <c r="J9" s="12"/>
      <c r="K9" s="12"/>
      <c r="L9" s="12"/>
      <c r="M9" s="12"/>
    </row>
    <row r="10" spans="1:26" x14ac:dyDescent="0.2">
      <c r="B10" s="12"/>
      <c r="C10" s="12"/>
      <c r="D10" s="12"/>
      <c r="E10" s="12"/>
      <c r="F10" s="12"/>
      <c r="G10" s="12"/>
      <c r="H10" s="12"/>
      <c r="I10" s="12"/>
      <c r="J10" s="12"/>
    </row>
    <row r="11" spans="1:26" x14ac:dyDescent="0.2">
      <c r="B11" s="12"/>
      <c r="C11" s="12"/>
      <c r="D11" s="12"/>
      <c r="E11" s="12"/>
      <c r="F11" s="12"/>
      <c r="G11" s="12"/>
      <c r="H11" s="12"/>
      <c r="I11" s="12"/>
      <c r="J11" s="12"/>
    </row>
    <row r="12" spans="1:26" x14ac:dyDescent="0.2">
      <c r="B12" s="12"/>
      <c r="C12" s="12"/>
      <c r="D12" s="12"/>
      <c r="E12" s="12"/>
      <c r="F12" s="12"/>
      <c r="G12" s="12"/>
      <c r="H12" s="12"/>
      <c r="I12" s="12"/>
      <c r="J12" s="12"/>
    </row>
    <row r="13" spans="1:26" x14ac:dyDescent="0.2">
      <c r="B13" s="12"/>
      <c r="C13" s="12"/>
      <c r="D13" s="12"/>
      <c r="E13" s="12"/>
      <c r="F13" s="12"/>
      <c r="G13" s="12"/>
      <c r="H13" s="12"/>
      <c r="I13" s="12"/>
      <c r="J13" s="12"/>
    </row>
    <row r="14" spans="1:26" x14ac:dyDescent="0.2">
      <c r="B14" s="12"/>
      <c r="C14" s="12"/>
      <c r="D14" s="12"/>
      <c r="E14" s="12"/>
      <c r="F14" s="12"/>
      <c r="G14" s="12"/>
      <c r="H14" s="12"/>
      <c r="I14" s="12"/>
      <c r="J14" s="12"/>
    </row>
    <row r="15" spans="1:26" x14ac:dyDescent="0.2">
      <c r="B15" s="12"/>
      <c r="C15" s="12"/>
      <c r="D15" s="12"/>
      <c r="E15" s="12"/>
      <c r="F15" s="12"/>
      <c r="G15" s="12"/>
      <c r="H15" s="12"/>
      <c r="I15" s="12"/>
      <c r="J15" s="12"/>
      <c r="K15" s="12"/>
      <c r="L15" s="12"/>
      <c r="M15" s="12"/>
    </row>
    <row r="16" spans="1:26" x14ac:dyDescent="0.2">
      <c r="B16" s="12"/>
      <c r="C16" s="12"/>
      <c r="D16" s="12"/>
      <c r="E16" s="12"/>
      <c r="F16" s="12"/>
      <c r="G16" s="12"/>
      <c r="H16" s="12"/>
      <c r="I16" s="12"/>
      <c r="J16" s="12"/>
      <c r="K16" s="12"/>
      <c r="L16" s="12"/>
      <c r="M16" s="12"/>
    </row>
    <row r="17" spans="1:25" x14ac:dyDescent="0.2">
      <c r="B17" s="12"/>
      <c r="C17" s="12"/>
      <c r="D17" s="12"/>
      <c r="E17" s="12"/>
      <c r="F17" s="12"/>
      <c r="G17" s="12"/>
      <c r="H17" s="12"/>
      <c r="I17" s="12"/>
      <c r="J17" s="12"/>
      <c r="K17" s="12"/>
      <c r="L17" s="12"/>
      <c r="M17" s="12"/>
    </row>
    <row r="18" spans="1:25" x14ac:dyDescent="0.2">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x14ac:dyDescent="0.2">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x14ac:dyDescent="0.2">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x14ac:dyDescent="0.2">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2">
      <c r="B22" s="12"/>
      <c r="C22" s="12"/>
      <c r="D22" s="12"/>
      <c r="E22" s="12"/>
      <c r="F22" s="12"/>
      <c r="G22" s="12"/>
      <c r="H22" s="12"/>
      <c r="I22" s="12"/>
      <c r="J22" s="12"/>
      <c r="K22" s="12"/>
      <c r="L22" s="12"/>
      <c r="M22" s="12"/>
      <c r="N22" s="12"/>
      <c r="O22" s="12"/>
      <c r="P22" s="12"/>
      <c r="Q22" s="12"/>
      <c r="R22" s="12"/>
      <c r="S22" s="12"/>
      <c r="T22" s="12"/>
      <c r="U22" s="12"/>
      <c r="V22" s="12"/>
      <c r="W22" s="12"/>
      <c r="X22" s="12"/>
      <c r="Y22" s="12"/>
    </row>
    <row r="23" spans="1:25" x14ac:dyDescent="0.2">
      <c r="B23" s="12"/>
      <c r="C23" s="12"/>
      <c r="D23" s="12"/>
      <c r="E23" s="12"/>
      <c r="F23" s="12"/>
      <c r="G23" s="12"/>
      <c r="H23" s="12"/>
      <c r="I23" s="12"/>
      <c r="J23" s="12"/>
      <c r="K23" s="12"/>
      <c r="L23" s="12"/>
      <c r="M23" s="12"/>
      <c r="N23" s="12"/>
      <c r="O23" s="12"/>
      <c r="P23" s="12"/>
      <c r="Q23" s="12"/>
      <c r="R23" s="12"/>
      <c r="S23" s="12"/>
      <c r="T23" s="12"/>
      <c r="U23" s="12"/>
      <c r="V23" s="12"/>
      <c r="W23" s="12"/>
      <c r="X23" s="12"/>
      <c r="Y23" s="12"/>
    </row>
    <row r="25" spans="1:25" ht="13.5" thickBot="1" x14ac:dyDescent="0.25">
      <c r="A25" s="6" t="s">
        <v>276</v>
      </c>
    </row>
    <row r="26" spans="1:25" ht="13.5" thickBot="1" x14ac:dyDescent="0.25">
      <c r="A26" s="361" t="s">
        <v>309</v>
      </c>
      <c r="B26" s="359">
        <f>ROW(A26)</f>
        <v>26</v>
      </c>
      <c r="C26" s="363" t="s">
        <v>115</v>
      </c>
      <c r="D26" s="353">
        <f>SUM(B29:Y29)</f>
        <v>9.8449999999999989</v>
      </c>
      <c r="E26" s="363" t="s">
        <v>114</v>
      </c>
      <c r="F26" s="399">
        <f>D26/g/J26</f>
        <v>3.3452259599048584</v>
      </c>
      <c r="G26" s="363" t="s">
        <v>56</v>
      </c>
      <c r="H26" s="64">
        <v>0.3</v>
      </c>
      <c r="I26" s="363" t="s">
        <v>271</v>
      </c>
      <c r="J26" s="355">
        <f>H26-L26</f>
        <v>0.3</v>
      </c>
      <c r="K26" s="363" t="s">
        <v>272</v>
      </c>
      <c r="L26" s="64">
        <v>0</v>
      </c>
      <c r="M26" s="363" t="s">
        <v>57</v>
      </c>
      <c r="N26" s="65">
        <f>0.2*R26</f>
        <v>60</v>
      </c>
      <c r="O26" s="363" t="s">
        <v>59</v>
      </c>
      <c r="P26" s="65">
        <v>150</v>
      </c>
      <c r="Q26" s="363" t="s">
        <v>60</v>
      </c>
      <c r="R26" s="65">
        <v>300</v>
      </c>
      <c r="S26" s="363" t="s">
        <v>61</v>
      </c>
      <c r="T26" s="65">
        <v>90</v>
      </c>
      <c r="U26" s="363" t="s">
        <v>54</v>
      </c>
      <c r="V26" s="66" t="s">
        <v>276</v>
      </c>
      <c r="W26" s="12"/>
      <c r="X26" s="12"/>
      <c r="Y26" s="12"/>
    </row>
    <row r="27" spans="1:25" x14ac:dyDescent="0.2">
      <c r="A27" s="362" t="s">
        <v>33</v>
      </c>
      <c r="B27" s="370">
        <v>0</v>
      </c>
      <c r="C27" s="371">
        <v>1E-3</v>
      </c>
      <c r="D27" s="371">
        <v>0.02</v>
      </c>
      <c r="E27" s="371">
        <v>3.7999999999999999E-2</v>
      </c>
      <c r="F27" s="371">
        <v>0.04</v>
      </c>
      <c r="G27" s="371">
        <v>0.04</v>
      </c>
      <c r="H27" s="371">
        <v>0.04</v>
      </c>
      <c r="I27" s="371">
        <v>0.04</v>
      </c>
      <c r="J27" s="371">
        <v>0.04</v>
      </c>
      <c r="K27" s="371">
        <v>0.04</v>
      </c>
      <c r="L27" s="371">
        <v>0.04</v>
      </c>
      <c r="M27" s="371">
        <v>0.04</v>
      </c>
      <c r="N27" s="371">
        <v>0.04</v>
      </c>
      <c r="O27" s="371">
        <v>0.04</v>
      </c>
      <c r="P27" s="371">
        <v>0.04</v>
      </c>
      <c r="Q27" s="371">
        <v>0.04</v>
      </c>
      <c r="R27" s="371">
        <v>0.04</v>
      </c>
      <c r="S27" s="371">
        <v>0.04</v>
      </c>
      <c r="T27" s="371">
        <v>0.04</v>
      </c>
      <c r="U27" s="371">
        <v>0.04</v>
      </c>
      <c r="V27" s="371">
        <v>0.04</v>
      </c>
      <c r="W27" s="371">
        <v>0.04</v>
      </c>
      <c r="X27" s="371">
        <v>0.04</v>
      </c>
      <c r="Y27" s="381">
        <v>1000</v>
      </c>
    </row>
    <row r="28" spans="1:25" x14ac:dyDescent="0.2">
      <c r="A28" s="378" t="s">
        <v>34</v>
      </c>
      <c r="B28" s="372">
        <v>0</v>
      </c>
      <c r="C28" s="373">
        <v>310</v>
      </c>
      <c r="D28" s="373">
        <v>250</v>
      </c>
      <c r="E28" s="373">
        <v>212</v>
      </c>
      <c r="F28" s="373">
        <v>0</v>
      </c>
      <c r="G28" s="373">
        <v>0</v>
      </c>
      <c r="H28" s="373">
        <v>0</v>
      </c>
      <c r="I28" s="373">
        <v>0</v>
      </c>
      <c r="J28" s="373">
        <v>0</v>
      </c>
      <c r="K28" s="373">
        <v>0</v>
      </c>
      <c r="L28" s="373">
        <v>0</v>
      </c>
      <c r="M28" s="373">
        <v>0</v>
      </c>
      <c r="N28" s="373">
        <v>0</v>
      </c>
      <c r="O28" s="373">
        <v>0</v>
      </c>
      <c r="P28" s="373">
        <v>0</v>
      </c>
      <c r="Q28" s="373">
        <v>0</v>
      </c>
      <c r="R28" s="373">
        <v>0</v>
      </c>
      <c r="S28" s="373">
        <v>0</v>
      </c>
      <c r="T28" s="373">
        <v>0</v>
      </c>
      <c r="U28" s="373">
        <v>0</v>
      </c>
      <c r="V28" s="373">
        <v>0</v>
      </c>
      <c r="W28" s="373">
        <v>0</v>
      </c>
      <c r="X28" s="373">
        <v>0</v>
      </c>
      <c r="Y28" s="382">
        <v>0</v>
      </c>
    </row>
    <row r="29" spans="1:25" ht="13.5" thickBot="1" x14ac:dyDescent="0.25">
      <c r="A29" s="379" t="s">
        <v>116</v>
      </c>
      <c r="B29" s="374">
        <f t="shared" ref="B29:X29" si="2">(C28+B28)*(C27-B27)/2</f>
        <v>0.155</v>
      </c>
      <c r="C29" s="375">
        <f t="shared" si="2"/>
        <v>5.32</v>
      </c>
      <c r="D29" s="375">
        <f t="shared" si="2"/>
        <v>4.1579999999999995</v>
      </c>
      <c r="E29" s="375">
        <f t="shared" si="2"/>
        <v>0.21200000000000019</v>
      </c>
      <c r="F29" s="375">
        <f t="shared" si="2"/>
        <v>0</v>
      </c>
      <c r="G29" s="375">
        <f t="shared" si="2"/>
        <v>0</v>
      </c>
      <c r="H29" s="375">
        <f t="shared" si="2"/>
        <v>0</v>
      </c>
      <c r="I29" s="375">
        <f t="shared" si="2"/>
        <v>0</v>
      </c>
      <c r="J29" s="375">
        <f t="shared" si="2"/>
        <v>0</v>
      </c>
      <c r="K29" s="375">
        <f t="shared" si="2"/>
        <v>0</v>
      </c>
      <c r="L29" s="375">
        <f t="shared" si="2"/>
        <v>0</v>
      </c>
      <c r="M29" s="375">
        <f t="shared" si="2"/>
        <v>0</v>
      </c>
      <c r="N29" s="375">
        <f t="shared" si="2"/>
        <v>0</v>
      </c>
      <c r="O29" s="375">
        <f t="shared" si="2"/>
        <v>0</v>
      </c>
      <c r="P29" s="375">
        <f t="shared" si="2"/>
        <v>0</v>
      </c>
      <c r="Q29" s="375">
        <f t="shared" si="2"/>
        <v>0</v>
      </c>
      <c r="R29" s="375">
        <f t="shared" si="2"/>
        <v>0</v>
      </c>
      <c r="S29" s="375">
        <f t="shared" si="2"/>
        <v>0</v>
      </c>
      <c r="T29" s="375">
        <f t="shared" si="2"/>
        <v>0</v>
      </c>
      <c r="U29" s="375">
        <f t="shared" si="2"/>
        <v>0</v>
      </c>
      <c r="V29" s="375">
        <f t="shared" si="2"/>
        <v>0</v>
      </c>
      <c r="W29" s="375">
        <f t="shared" si="2"/>
        <v>0</v>
      </c>
      <c r="X29" s="375">
        <f t="shared" si="2"/>
        <v>0</v>
      </c>
      <c r="Y29" s="369"/>
    </row>
    <row r="30" spans="1:25" ht="13.5" thickBot="1" x14ac:dyDescent="0.25">
      <c r="A30" s="12"/>
      <c r="L30" s="12"/>
      <c r="M30" s="12"/>
      <c r="N30" s="12"/>
      <c r="O30" s="12"/>
      <c r="P30" s="12"/>
      <c r="Q30" s="12"/>
      <c r="R30" s="12"/>
      <c r="S30" s="12"/>
      <c r="T30" s="12"/>
      <c r="U30" s="12"/>
      <c r="V30" s="12"/>
      <c r="W30" s="12"/>
      <c r="X30" s="12"/>
      <c r="Y30" s="12"/>
    </row>
    <row r="31" spans="1:25" ht="13.5" thickBot="1" x14ac:dyDescent="0.25">
      <c r="A31" s="361" t="s">
        <v>310</v>
      </c>
      <c r="B31" s="359">
        <f>ROW(A31)</f>
        <v>31</v>
      </c>
      <c r="C31" s="363" t="s">
        <v>115</v>
      </c>
      <c r="D31" s="353">
        <f>SUM(B34:Y34)</f>
        <v>13.814500000000002</v>
      </c>
      <c r="E31" s="363" t="s">
        <v>114</v>
      </c>
      <c r="F31" s="399">
        <f>D31/g/J31</f>
        <v>3.1293464718541175</v>
      </c>
      <c r="G31" s="363" t="s">
        <v>56</v>
      </c>
      <c r="H31" s="64">
        <v>0.45</v>
      </c>
      <c r="I31" s="363" t="s">
        <v>271</v>
      </c>
      <c r="J31" s="355">
        <f>H31-L31</f>
        <v>0.45</v>
      </c>
      <c r="K31" s="363" t="s">
        <v>272</v>
      </c>
      <c r="L31" s="64">
        <v>0</v>
      </c>
      <c r="M31" s="363" t="s">
        <v>57</v>
      </c>
      <c r="N31" s="65">
        <f>0.3*R31</f>
        <v>90</v>
      </c>
      <c r="O31" s="363" t="s">
        <v>59</v>
      </c>
      <c r="P31" s="65">
        <v>150</v>
      </c>
      <c r="Q31" s="363" t="s">
        <v>60</v>
      </c>
      <c r="R31" s="65">
        <v>300</v>
      </c>
      <c r="S31" s="363" t="s">
        <v>61</v>
      </c>
      <c r="T31" s="65">
        <v>90</v>
      </c>
      <c r="U31" s="363" t="s">
        <v>54</v>
      </c>
      <c r="V31" s="66" t="s">
        <v>276</v>
      </c>
      <c r="W31" s="12"/>
      <c r="X31" s="12"/>
      <c r="Y31" s="12"/>
    </row>
    <row r="32" spans="1:25" x14ac:dyDescent="0.2">
      <c r="A32" s="362" t="s">
        <v>33</v>
      </c>
      <c r="B32" s="370">
        <v>0</v>
      </c>
      <c r="C32" s="371">
        <v>1E-3</v>
      </c>
      <c r="D32" s="371">
        <v>0.02</v>
      </c>
      <c r="E32" s="371">
        <v>0.04</v>
      </c>
      <c r="F32" s="371">
        <v>6.0999999999999999E-2</v>
      </c>
      <c r="G32" s="371">
        <v>6.2E-2</v>
      </c>
      <c r="H32" s="371">
        <v>6.2E-2</v>
      </c>
      <c r="I32" s="371">
        <v>6.2E-2</v>
      </c>
      <c r="J32" s="371">
        <v>6.2E-2</v>
      </c>
      <c r="K32" s="371">
        <v>6.2E-2</v>
      </c>
      <c r="L32" s="371">
        <v>6.2E-2</v>
      </c>
      <c r="M32" s="371">
        <v>6.2E-2</v>
      </c>
      <c r="N32" s="371">
        <v>6.2E-2</v>
      </c>
      <c r="O32" s="371">
        <v>6.2E-2</v>
      </c>
      <c r="P32" s="371">
        <v>6.2E-2</v>
      </c>
      <c r="Q32" s="371">
        <v>6.2E-2</v>
      </c>
      <c r="R32" s="371">
        <v>6.2E-2</v>
      </c>
      <c r="S32" s="371">
        <v>6.2E-2</v>
      </c>
      <c r="T32" s="371">
        <v>6.2E-2</v>
      </c>
      <c r="U32" s="371">
        <v>6.2E-2</v>
      </c>
      <c r="V32" s="371">
        <v>6.2E-2</v>
      </c>
      <c r="W32" s="371">
        <v>6.2E-2</v>
      </c>
      <c r="X32" s="371">
        <v>6.2E-2</v>
      </c>
      <c r="Y32" s="381">
        <v>1000</v>
      </c>
    </row>
    <row r="33" spans="1:25" x14ac:dyDescent="0.2">
      <c r="A33" s="378" t="s">
        <v>34</v>
      </c>
      <c r="B33" s="372">
        <v>0</v>
      </c>
      <c r="C33" s="373">
        <v>310</v>
      </c>
      <c r="D33" s="373">
        <v>245</v>
      </c>
      <c r="E33" s="373">
        <v>200</v>
      </c>
      <c r="F33" s="373">
        <v>167</v>
      </c>
      <c r="G33" s="373">
        <v>0</v>
      </c>
      <c r="H33" s="373">
        <v>0</v>
      </c>
      <c r="I33" s="373">
        <v>0</v>
      </c>
      <c r="J33" s="373">
        <v>0</v>
      </c>
      <c r="K33" s="373">
        <v>0</v>
      </c>
      <c r="L33" s="373">
        <v>0</v>
      </c>
      <c r="M33" s="373">
        <v>0</v>
      </c>
      <c r="N33" s="373">
        <v>0</v>
      </c>
      <c r="O33" s="373">
        <v>0</v>
      </c>
      <c r="P33" s="373">
        <v>0</v>
      </c>
      <c r="Q33" s="373">
        <v>0</v>
      </c>
      <c r="R33" s="373">
        <v>0</v>
      </c>
      <c r="S33" s="373">
        <v>0</v>
      </c>
      <c r="T33" s="373">
        <v>0</v>
      </c>
      <c r="U33" s="373">
        <v>0</v>
      </c>
      <c r="V33" s="373">
        <v>0</v>
      </c>
      <c r="W33" s="373">
        <v>0</v>
      </c>
      <c r="X33" s="373">
        <v>0</v>
      </c>
      <c r="Y33" s="382">
        <v>0</v>
      </c>
    </row>
    <row r="34" spans="1:25" ht="13.5" thickBot="1" x14ac:dyDescent="0.25">
      <c r="A34" s="379" t="s">
        <v>116</v>
      </c>
      <c r="B34" s="374">
        <f t="shared" ref="B34:X34" si="3">(C33+B33)*(C32-B32)/2</f>
        <v>0.155</v>
      </c>
      <c r="C34" s="375">
        <f t="shared" si="3"/>
        <v>5.2725</v>
      </c>
      <c r="D34" s="375">
        <f t="shared" si="3"/>
        <v>4.45</v>
      </c>
      <c r="E34" s="375">
        <f t="shared" si="3"/>
        <v>3.8534999999999995</v>
      </c>
      <c r="F34" s="375">
        <f t="shared" si="3"/>
        <v>8.3500000000000074E-2</v>
      </c>
      <c r="G34" s="375">
        <f t="shared" si="3"/>
        <v>0</v>
      </c>
      <c r="H34" s="375">
        <f t="shared" si="3"/>
        <v>0</v>
      </c>
      <c r="I34" s="375">
        <f t="shared" si="3"/>
        <v>0</v>
      </c>
      <c r="J34" s="375">
        <f t="shared" si="3"/>
        <v>0</v>
      </c>
      <c r="K34" s="375">
        <f t="shared" si="3"/>
        <v>0</v>
      </c>
      <c r="L34" s="375">
        <f t="shared" si="3"/>
        <v>0</v>
      </c>
      <c r="M34" s="375">
        <f t="shared" si="3"/>
        <v>0</v>
      </c>
      <c r="N34" s="375">
        <f t="shared" si="3"/>
        <v>0</v>
      </c>
      <c r="O34" s="375">
        <f t="shared" si="3"/>
        <v>0</v>
      </c>
      <c r="P34" s="375">
        <f t="shared" si="3"/>
        <v>0</v>
      </c>
      <c r="Q34" s="375">
        <f t="shared" si="3"/>
        <v>0</v>
      </c>
      <c r="R34" s="375">
        <f t="shared" si="3"/>
        <v>0</v>
      </c>
      <c r="S34" s="375">
        <f t="shared" si="3"/>
        <v>0</v>
      </c>
      <c r="T34" s="375">
        <f t="shared" si="3"/>
        <v>0</v>
      </c>
      <c r="U34" s="375">
        <f t="shared" si="3"/>
        <v>0</v>
      </c>
      <c r="V34" s="375">
        <f t="shared" si="3"/>
        <v>0</v>
      </c>
      <c r="W34" s="375">
        <f t="shared" si="3"/>
        <v>0</v>
      </c>
      <c r="X34" s="375">
        <f t="shared" si="3"/>
        <v>0</v>
      </c>
      <c r="Y34" s="369"/>
    </row>
    <row r="35" spans="1:25" ht="13.5" thickBot="1"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3.5" thickBot="1" x14ac:dyDescent="0.25">
      <c r="A36" s="361" t="s">
        <v>311</v>
      </c>
      <c r="B36" s="359">
        <f>ROW(A36)</f>
        <v>36</v>
      </c>
      <c r="C36" s="363" t="s">
        <v>115</v>
      </c>
      <c r="D36" s="353">
        <f>SUM(B39:Y39)</f>
        <v>17.144499999999997</v>
      </c>
      <c r="E36" s="363" t="s">
        <v>114</v>
      </c>
      <c r="F36" s="399">
        <f>D36/g/J36</f>
        <v>2.9127590893645934</v>
      </c>
      <c r="G36" s="363" t="s">
        <v>56</v>
      </c>
      <c r="H36" s="64">
        <v>0.6</v>
      </c>
      <c r="I36" s="363" t="s">
        <v>271</v>
      </c>
      <c r="J36" s="355">
        <f>H36-L36</f>
        <v>0.6</v>
      </c>
      <c r="K36" s="363" t="s">
        <v>272</v>
      </c>
      <c r="L36" s="64">
        <v>0</v>
      </c>
      <c r="M36" s="363" t="s">
        <v>57</v>
      </c>
      <c r="N36" s="65">
        <f>0.4*R36</f>
        <v>120</v>
      </c>
      <c r="O36" s="363" t="s">
        <v>59</v>
      </c>
      <c r="P36" s="65">
        <v>150</v>
      </c>
      <c r="Q36" s="363" t="s">
        <v>60</v>
      </c>
      <c r="R36" s="65">
        <v>300</v>
      </c>
      <c r="S36" s="363" t="s">
        <v>61</v>
      </c>
      <c r="T36" s="65">
        <v>90</v>
      </c>
      <c r="U36" s="363" t="s">
        <v>54</v>
      </c>
      <c r="V36" s="66" t="s">
        <v>276</v>
      </c>
      <c r="W36" s="12"/>
      <c r="X36" s="12"/>
      <c r="Y36" s="12"/>
    </row>
    <row r="37" spans="1:25" x14ac:dyDescent="0.2">
      <c r="A37" s="362" t="s">
        <v>33</v>
      </c>
      <c r="B37" s="370">
        <v>0</v>
      </c>
      <c r="C37" s="371">
        <v>1E-3</v>
      </c>
      <c r="D37" s="371">
        <v>0.02</v>
      </c>
      <c r="E37" s="371">
        <v>0.04</v>
      </c>
      <c r="F37" s="371">
        <v>0.06</v>
      </c>
      <c r="G37" s="371">
        <v>0.08</v>
      </c>
      <c r="H37" s="371">
        <v>8.7999999999999995E-2</v>
      </c>
      <c r="I37" s="371">
        <v>8.8999999999999996E-2</v>
      </c>
      <c r="J37" s="371">
        <v>8.8999999999999996E-2</v>
      </c>
      <c r="K37" s="371">
        <v>8.8999999999999996E-2</v>
      </c>
      <c r="L37" s="371">
        <v>8.8999999999999996E-2</v>
      </c>
      <c r="M37" s="371">
        <v>8.8999999999999996E-2</v>
      </c>
      <c r="N37" s="371">
        <v>8.8999999999999996E-2</v>
      </c>
      <c r="O37" s="371">
        <v>8.8999999999999996E-2</v>
      </c>
      <c r="P37" s="371">
        <v>8.8999999999999996E-2</v>
      </c>
      <c r="Q37" s="371">
        <v>8.8999999999999996E-2</v>
      </c>
      <c r="R37" s="371">
        <v>8.8999999999999996E-2</v>
      </c>
      <c r="S37" s="371">
        <v>8.8999999999999996E-2</v>
      </c>
      <c r="T37" s="371">
        <v>8.8999999999999996E-2</v>
      </c>
      <c r="U37" s="371">
        <v>8.8999999999999996E-2</v>
      </c>
      <c r="V37" s="371">
        <v>8.8999999999999996E-2</v>
      </c>
      <c r="W37" s="371">
        <v>8.8999999999999996E-2</v>
      </c>
      <c r="X37" s="371">
        <v>8.8999999999999996E-2</v>
      </c>
      <c r="Y37" s="381">
        <v>1000</v>
      </c>
    </row>
    <row r="38" spans="1:25" x14ac:dyDescent="0.2">
      <c r="A38" s="378" t="s">
        <v>34</v>
      </c>
      <c r="B38" s="372">
        <v>0</v>
      </c>
      <c r="C38" s="373">
        <v>310</v>
      </c>
      <c r="D38" s="373">
        <v>240</v>
      </c>
      <c r="E38" s="373">
        <v>190</v>
      </c>
      <c r="F38" s="373">
        <v>157</v>
      </c>
      <c r="G38" s="373">
        <v>133</v>
      </c>
      <c r="H38" s="373">
        <v>125</v>
      </c>
      <c r="I38" s="373">
        <v>0</v>
      </c>
      <c r="J38" s="373">
        <v>0</v>
      </c>
      <c r="K38" s="373">
        <v>0</v>
      </c>
      <c r="L38" s="373">
        <v>0</v>
      </c>
      <c r="M38" s="373">
        <v>0</v>
      </c>
      <c r="N38" s="373">
        <v>0</v>
      </c>
      <c r="O38" s="373">
        <v>0</v>
      </c>
      <c r="P38" s="373">
        <v>0</v>
      </c>
      <c r="Q38" s="373">
        <v>0</v>
      </c>
      <c r="R38" s="373">
        <v>0</v>
      </c>
      <c r="S38" s="373">
        <v>0</v>
      </c>
      <c r="T38" s="373">
        <v>0</v>
      </c>
      <c r="U38" s="373">
        <v>0</v>
      </c>
      <c r="V38" s="373">
        <v>0</v>
      </c>
      <c r="W38" s="373">
        <v>0</v>
      </c>
      <c r="X38" s="373">
        <v>0</v>
      </c>
      <c r="Y38" s="382">
        <v>0</v>
      </c>
    </row>
    <row r="39" spans="1:25" ht="13.5" thickBot="1" x14ac:dyDescent="0.25">
      <c r="A39" s="379" t="s">
        <v>116</v>
      </c>
      <c r="B39" s="374">
        <f t="shared" ref="B39:X39" si="4">(C38+B38)*(C37-B37)/2</f>
        <v>0.155</v>
      </c>
      <c r="C39" s="375">
        <f t="shared" si="4"/>
        <v>5.2249999999999996</v>
      </c>
      <c r="D39" s="375">
        <f t="shared" si="4"/>
        <v>4.3</v>
      </c>
      <c r="E39" s="375">
        <f t="shared" si="4"/>
        <v>3.4699999999999993</v>
      </c>
      <c r="F39" s="375">
        <f t="shared" si="4"/>
        <v>2.9000000000000004</v>
      </c>
      <c r="G39" s="375">
        <f t="shared" si="4"/>
        <v>1.0319999999999991</v>
      </c>
      <c r="H39" s="375">
        <f t="shared" si="4"/>
        <v>6.2500000000000056E-2</v>
      </c>
      <c r="I39" s="375">
        <f t="shared" si="4"/>
        <v>0</v>
      </c>
      <c r="J39" s="375">
        <f t="shared" si="4"/>
        <v>0</v>
      </c>
      <c r="K39" s="375">
        <f t="shared" si="4"/>
        <v>0</v>
      </c>
      <c r="L39" s="375">
        <f t="shared" si="4"/>
        <v>0</v>
      </c>
      <c r="M39" s="375">
        <f t="shared" si="4"/>
        <v>0</v>
      </c>
      <c r="N39" s="375">
        <f t="shared" si="4"/>
        <v>0</v>
      </c>
      <c r="O39" s="375">
        <f t="shared" si="4"/>
        <v>0</v>
      </c>
      <c r="P39" s="375">
        <f t="shared" si="4"/>
        <v>0</v>
      </c>
      <c r="Q39" s="375">
        <f t="shared" si="4"/>
        <v>0</v>
      </c>
      <c r="R39" s="375">
        <f t="shared" si="4"/>
        <v>0</v>
      </c>
      <c r="S39" s="375">
        <f t="shared" si="4"/>
        <v>0</v>
      </c>
      <c r="T39" s="375">
        <f t="shared" si="4"/>
        <v>0</v>
      </c>
      <c r="U39" s="375">
        <f t="shared" si="4"/>
        <v>0</v>
      </c>
      <c r="V39" s="375">
        <f t="shared" si="4"/>
        <v>0</v>
      </c>
      <c r="W39" s="375">
        <f t="shared" si="4"/>
        <v>0</v>
      </c>
      <c r="X39" s="375">
        <f t="shared" si="4"/>
        <v>0</v>
      </c>
      <c r="Y39" s="369"/>
    </row>
    <row r="40" spans="1:25" ht="13.5" thickBot="1" x14ac:dyDescent="0.25">
      <c r="A40" s="12"/>
      <c r="L40" s="12"/>
      <c r="M40" s="12"/>
      <c r="N40" s="12"/>
      <c r="O40" s="12"/>
      <c r="P40" s="12"/>
      <c r="Q40" s="12"/>
      <c r="R40" s="12"/>
      <c r="S40" s="12"/>
      <c r="T40" s="12"/>
      <c r="U40" s="12"/>
      <c r="V40" s="12"/>
      <c r="W40" s="12"/>
      <c r="X40" s="12"/>
      <c r="Y40" s="12"/>
    </row>
    <row r="41" spans="1:25" ht="13.5" thickBot="1" x14ac:dyDescent="0.25">
      <c r="A41" s="361" t="s">
        <v>312</v>
      </c>
      <c r="B41" s="359">
        <f>ROW(A41)</f>
        <v>41</v>
      </c>
      <c r="C41" s="363" t="s">
        <v>115</v>
      </c>
      <c r="D41" s="353">
        <f>SUM(B44:Y44)</f>
        <v>19.415000000000003</v>
      </c>
      <c r="E41" s="363" t="s">
        <v>114</v>
      </c>
      <c r="F41" s="399">
        <f>D41/g/J41</f>
        <v>2.6388039415562354</v>
      </c>
      <c r="G41" s="363" t="s">
        <v>56</v>
      </c>
      <c r="H41" s="64">
        <v>0.75</v>
      </c>
      <c r="I41" s="363" t="s">
        <v>271</v>
      </c>
      <c r="J41" s="355">
        <f>H41-L41</f>
        <v>0.75</v>
      </c>
      <c r="K41" s="363" t="s">
        <v>272</v>
      </c>
      <c r="L41" s="64">
        <v>0</v>
      </c>
      <c r="M41" s="363" t="s">
        <v>57</v>
      </c>
      <c r="N41" s="65">
        <f>0.5*R41</f>
        <v>150</v>
      </c>
      <c r="O41" s="363" t="s">
        <v>59</v>
      </c>
      <c r="P41" s="65">
        <v>150</v>
      </c>
      <c r="Q41" s="363" t="s">
        <v>60</v>
      </c>
      <c r="R41" s="65">
        <v>300</v>
      </c>
      <c r="S41" s="363" t="s">
        <v>61</v>
      </c>
      <c r="T41" s="65">
        <v>90</v>
      </c>
      <c r="U41" s="363" t="s">
        <v>54</v>
      </c>
      <c r="V41" s="66" t="s">
        <v>276</v>
      </c>
      <c r="W41" s="12"/>
      <c r="X41" s="12"/>
      <c r="Y41" s="12"/>
    </row>
    <row r="42" spans="1:25" x14ac:dyDescent="0.2">
      <c r="A42" s="362" t="s">
        <v>33</v>
      </c>
      <c r="B42" s="370">
        <v>0</v>
      </c>
      <c r="C42" s="371">
        <v>1E-3</v>
      </c>
      <c r="D42" s="371">
        <v>0.02</v>
      </c>
      <c r="E42" s="371">
        <v>0.04</v>
      </c>
      <c r="F42" s="371">
        <v>0.06</v>
      </c>
      <c r="G42" s="371">
        <v>0.08</v>
      </c>
      <c r="H42" s="371">
        <v>0.1</v>
      </c>
      <c r="I42" s="371">
        <v>0.123</v>
      </c>
      <c r="J42" s="371">
        <v>0.124</v>
      </c>
      <c r="K42" s="371">
        <v>0.124</v>
      </c>
      <c r="L42" s="371">
        <v>0.124</v>
      </c>
      <c r="M42" s="371">
        <v>0.124</v>
      </c>
      <c r="N42" s="371">
        <v>0.124</v>
      </c>
      <c r="O42" s="371">
        <v>0.124</v>
      </c>
      <c r="P42" s="371">
        <v>0.124</v>
      </c>
      <c r="Q42" s="371">
        <v>0.124</v>
      </c>
      <c r="R42" s="371">
        <v>0.124</v>
      </c>
      <c r="S42" s="371">
        <v>0.124</v>
      </c>
      <c r="T42" s="371">
        <v>0.124</v>
      </c>
      <c r="U42" s="371">
        <v>0.124</v>
      </c>
      <c r="V42" s="371">
        <v>0.124</v>
      </c>
      <c r="W42" s="371">
        <v>0.124</v>
      </c>
      <c r="X42" s="371">
        <v>0.124</v>
      </c>
      <c r="Y42" s="381">
        <v>1000</v>
      </c>
    </row>
    <row r="43" spans="1:25" x14ac:dyDescent="0.2">
      <c r="A43" s="378" t="s">
        <v>34</v>
      </c>
      <c r="B43" s="372">
        <v>0</v>
      </c>
      <c r="C43" s="373">
        <v>310</v>
      </c>
      <c r="D43" s="373">
        <v>230</v>
      </c>
      <c r="E43" s="373">
        <v>175</v>
      </c>
      <c r="F43" s="373">
        <v>140</v>
      </c>
      <c r="G43" s="373">
        <v>118</v>
      </c>
      <c r="H43" s="373">
        <v>100</v>
      </c>
      <c r="I43" s="373">
        <v>85</v>
      </c>
      <c r="J43" s="373">
        <v>0</v>
      </c>
      <c r="K43" s="373">
        <v>0</v>
      </c>
      <c r="L43" s="373">
        <v>0</v>
      </c>
      <c r="M43" s="373">
        <v>0</v>
      </c>
      <c r="N43" s="373">
        <v>0</v>
      </c>
      <c r="O43" s="373">
        <v>0</v>
      </c>
      <c r="P43" s="373">
        <v>0</v>
      </c>
      <c r="Q43" s="373">
        <v>0</v>
      </c>
      <c r="R43" s="373">
        <v>0</v>
      </c>
      <c r="S43" s="373">
        <v>0</v>
      </c>
      <c r="T43" s="373">
        <v>0</v>
      </c>
      <c r="U43" s="373">
        <v>0</v>
      </c>
      <c r="V43" s="373">
        <v>0</v>
      </c>
      <c r="W43" s="373">
        <v>0</v>
      </c>
      <c r="X43" s="373">
        <v>0</v>
      </c>
      <c r="Y43" s="382">
        <v>0</v>
      </c>
    </row>
    <row r="44" spans="1:25" ht="13.5" thickBot="1" x14ac:dyDescent="0.25">
      <c r="A44" s="379" t="s">
        <v>116</v>
      </c>
      <c r="B44" s="374">
        <f t="shared" ref="B44:X44" si="5">(C43+B43)*(C42-B42)/2</f>
        <v>0.155</v>
      </c>
      <c r="C44" s="375">
        <f t="shared" si="5"/>
        <v>5.13</v>
      </c>
      <c r="D44" s="375">
        <f t="shared" si="5"/>
        <v>4.05</v>
      </c>
      <c r="E44" s="375">
        <f t="shared" si="5"/>
        <v>3.1499999999999995</v>
      </c>
      <c r="F44" s="375">
        <f t="shared" si="5"/>
        <v>2.5800000000000005</v>
      </c>
      <c r="G44" s="375">
        <f t="shared" si="5"/>
        <v>2.1800000000000006</v>
      </c>
      <c r="H44" s="375">
        <f t="shared" si="5"/>
        <v>2.1274999999999995</v>
      </c>
      <c r="I44" s="375">
        <f t="shared" si="5"/>
        <v>4.2500000000000038E-2</v>
      </c>
      <c r="J44" s="375">
        <f t="shared" si="5"/>
        <v>0</v>
      </c>
      <c r="K44" s="375">
        <f t="shared" si="5"/>
        <v>0</v>
      </c>
      <c r="L44" s="375">
        <f t="shared" si="5"/>
        <v>0</v>
      </c>
      <c r="M44" s="375">
        <f t="shared" si="5"/>
        <v>0</v>
      </c>
      <c r="N44" s="375">
        <f t="shared" si="5"/>
        <v>0</v>
      </c>
      <c r="O44" s="375">
        <f t="shared" si="5"/>
        <v>0</v>
      </c>
      <c r="P44" s="375">
        <f t="shared" si="5"/>
        <v>0</v>
      </c>
      <c r="Q44" s="375">
        <f t="shared" si="5"/>
        <v>0</v>
      </c>
      <c r="R44" s="375">
        <f t="shared" si="5"/>
        <v>0</v>
      </c>
      <c r="S44" s="375">
        <f t="shared" si="5"/>
        <v>0</v>
      </c>
      <c r="T44" s="375">
        <f t="shared" si="5"/>
        <v>0</v>
      </c>
      <c r="U44" s="375">
        <f t="shared" si="5"/>
        <v>0</v>
      </c>
      <c r="V44" s="375">
        <f t="shared" si="5"/>
        <v>0</v>
      </c>
      <c r="W44" s="375">
        <f t="shared" si="5"/>
        <v>0</v>
      </c>
      <c r="X44" s="375">
        <f t="shared" si="5"/>
        <v>0</v>
      </c>
      <c r="Y44" s="369"/>
    </row>
    <row r="45" spans="1:25" ht="13.5" thickBot="1" x14ac:dyDescent="0.25"/>
    <row r="46" spans="1:25" ht="13.5" thickBot="1" x14ac:dyDescent="0.25">
      <c r="A46" s="361" t="s">
        <v>277</v>
      </c>
      <c r="B46" s="359">
        <f>ROW(A46)</f>
        <v>46</v>
      </c>
      <c r="C46" s="363" t="s">
        <v>115</v>
      </c>
      <c r="D46" s="353">
        <f>SUM(B49:Y49)</f>
        <v>12.8695</v>
      </c>
      <c r="E46" s="363" t="s">
        <v>114</v>
      </c>
      <c r="F46" s="399">
        <f>D46/g/J46</f>
        <v>3.2796890927624869</v>
      </c>
      <c r="G46" s="363" t="s">
        <v>56</v>
      </c>
      <c r="H46" s="64">
        <v>0.5</v>
      </c>
      <c r="I46" s="363" t="s">
        <v>271</v>
      </c>
      <c r="J46" s="355">
        <f>H46-L46</f>
        <v>0.4</v>
      </c>
      <c r="K46" s="363" t="s">
        <v>272</v>
      </c>
      <c r="L46" s="64">
        <v>0.1</v>
      </c>
      <c r="M46" s="363" t="s">
        <v>57</v>
      </c>
      <c r="N46" s="65">
        <f>0.2*R46</f>
        <v>60</v>
      </c>
      <c r="O46" s="363" t="s">
        <v>59</v>
      </c>
      <c r="P46" s="65">
        <v>150</v>
      </c>
      <c r="Q46" s="363" t="s">
        <v>60</v>
      </c>
      <c r="R46" s="65">
        <v>300</v>
      </c>
      <c r="S46" s="363" t="s">
        <v>61</v>
      </c>
      <c r="T46" s="65">
        <v>98</v>
      </c>
      <c r="U46" s="363" t="s">
        <v>54</v>
      </c>
      <c r="V46" s="66" t="s">
        <v>276</v>
      </c>
      <c r="W46" s="12"/>
      <c r="X46" s="12"/>
      <c r="Y46" s="12"/>
    </row>
    <row r="47" spans="1:25" x14ac:dyDescent="0.2">
      <c r="A47" s="362" t="s">
        <v>33</v>
      </c>
      <c r="B47" s="370">
        <v>0</v>
      </c>
      <c r="C47" s="371">
        <v>1E-3</v>
      </c>
      <c r="D47" s="371">
        <v>0.02</v>
      </c>
      <c r="E47" s="371">
        <v>0.04</v>
      </c>
      <c r="F47" s="371">
        <v>0.05</v>
      </c>
      <c r="G47" s="371">
        <v>5.0999999999999997E-2</v>
      </c>
      <c r="H47" s="371">
        <v>5.0999999999999997E-2</v>
      </c>
      <c r="I47" s="371">
        <v>5.0999999999999997E-2</v>
      </c>
      <c r="J47" s="371">
        <v>5.0999999999999997E-2</v>
      </c>
      <c r="K47" s="371">
        <v>5.0999999999999997E-2</v>
      </c>
      <c r="L47" s="371">
        <v>5.0999999999999997E-2</v>
      </c>
      <c r="M47" s="371">
        <v>5.0999999999999997E-2</v>
      </c>
      <c r="N47" s="371">
        <v>5.0999999999999997E-2</v>
      </c>
      <c r="O47" s="371">
        <v>5.0999999999999997E-2</v>
      </c>
      <c r="P47" s="371">
        <v>5.0999999999999997E-2</v>
      </c>
      <c r="Q47" s="371">
        <v>5.0999999999999997E-2</v>
      </c>
      <c r="R47" s="371">
        <v>5.0999999999999997E-2</v>
      </c>
      <c r="S47" s="371">
        <v>5.0999999999999997E-2</v>
      </c>
      <c r="T47" s="371">
        <v>5.0999999999999997E-2</v>
      </c>
      <c r="U47" s="371">
        <v>5.0999999999999997E-2</v>
      </c>
      <c r="V47" s="371">
        <v>5.0999999999999997E-2</v>
      </c>
      <c r="W47" s="371">
        <v>5.0999999999999997E-2</v>
      </c>
      <c r="X47" s="371">
        <v>5.0999999999999997E-2</v>
      </c>
      <c r="Y47" s="381">
        <v>1000</v>
      </c>
    </row>
    <row r="48" spans="1:25" x14ac:dyDescent="0.2">
      <c r="A48" s="378" t="s">
        <v>34</v>
      </c>
      <c r="B48" s="372">
        <v>0</v>
      </c>
      <c r="C48" s="373">
        <v>310</v>
      </c>
      <c r="D48" s="373">
        <v>264</v>
      </c>
      <c r="E48" s="373">
        <v>230</v>
      </c>
      <c r="F48" s="373">
        <v>213</v>
      </c>
      <c r="G48" s="373">
        <v>0</v>
      </c>
      <c r="H48" s="373">
        <v>0</v>
      </c>
      <c r="I48" s="373">
        <v>0</v>
      </c>
      <c r="J48" s="373">
        <v>0</v>
      </c>
      <c r="K48" s="373">
        <v>0</v>
      </c>
      <c r="L48" s="373">
        <v>0</v>
      </c>
      <c r="M48" s="373">
        <v>0</v>
      </c>
      <c r="N48" s="373">
        <v>0</v>
      </c>
      <c r="O48" s="373">
        <v>0</v>
      </c>
      <c r="P48" s="373">
        <v>0</v>
      </c>
      <c r="Q48" s="373">
        <v>0</v>
      </c>
      <c r="R48" s="373">
        <v>0</v>
      </c>
      <c r="S48" s="373">
        <v>0</v>
      </c>
      <c r="T48" s="373">
        <v>0</v>
      </c>
      <c r="U48" s="373">
        <v>0</v>
      </c>
      <c r="V48" s="373">
        <v>0</v>
      </c>
      <c r="W48" s="373">
        <v>0</v>
      </c>
      <c r="X48" s="373">
        <v>0</v>
      </c>
      <c r="Y48" s="382">
        <v>0</v>
      </c>
    </row>
    <row r="49" spans="1:25" ht="13.5" thickBot="1" x14ac:dyDescent="0.25">
      <c r="A49" s="379" t="s">
        <v>116</v>
      </c>
      <c r="B49" s="374">
        <f t="shared" ref="B49:X49" si="6">(C48+B48)*(C47-B47)/2</f>
        <v>0.155</v>
      </c>
      <c r="C49" s="375">
        <f t="shared" si="6"/>
        <v>5.4530000000000003</v>
      </c>
      <c r="D49" s="375">
        <f t="shared" si="6"/>
        <v>4.9400000000000004</v>
      </c>
      <c r="E49" s="375">
        <f t="shared" si="6"/>
        <v>2.2150000000000003</v>
      </c>
      <c r="F49" s="375">
        <f t="shared" si="6"/>
        <v>0.10649999999999936</v>
      </c>
      <c r="G49" s="375">
        <f t="shared" si="6"/>
        <v>0</v>
      </c>
      <c r="H49" s="375">
        <f t="shared" si="6"/>
        <v>0</v>
      </c>
      <c r="I49" s="375">
        <f t="shared" si="6"/>
        <v>0</v>
      </c>
      <c r="J49" s="375">
        <f t="shared" si="6"/>
        <v>0</v>
      </c>
      <c r="K49" s="375">
        <f t="shared" si="6"/>
        <v>0</v>
      </c>
      <c r="L49" s="375">
        <f t="shared" si="6"/>
        <v>0</v>
      </c>
      <c r="M49" s="375">
        <f t="shared" si="6"/>
        <v>0</v>
      </c>
      <c r="N49" s="375">
        <f t="shared" si="6"/>
        <v>0</v>
      </c>
      <c r="O49" s="375">
        <f t="shared" si="6"/>
        <v>0</v>
      </c>
      <c r="P49" s="375">
        <f t="shared" si="6"/>
        <v>0</v>
      </c>
      <c r="Q49" s="375">
        <f t="shared" si="6"/>
        <v>0</v>
      </c>
      <c r="R49" s="375">
        <f t="shared" si="6"/>
        <v>0</v>
      </c>
      <c r="S49" s="375">
        <f t="shared" si="6"/>
        <v>0</v>
      </c>
      <c r="T49" s="375">
        <f t="shared" si="6"/>
        <v>0</v>
      </c>
      <c r="U49" s="375">
        <f t="shared" si="6"/>
        <v>0</v>
      </c>
      <c r="V49" s="375">
        <f t="shared" si="6"/>
        <v>0</v>
      </c>
      <c r="W49" s="375">
        <f t="shared" si="6"/>
        <v>0</v>
      </c>
      <c r="X49" s="375">
        <f t="shared" si="6"/>
        <v>0</v>
      </c>
      <c r="Y49" s="369"/>
    </row>
    <row r="50" spans="1:25" ht="13.5" thickBot="1" x14ac:dyDescent="0.25">
      <c r="A50" s="12"/>
      <c r="L50" s="12"/>
      <c r="M50" s="12"/>
      <c r="N50" s="12"/>
      <c r="O50" s="12"/>
      <c r="P50" s="12"/>
      <c r="Q50" s="12"/>
      <c r="R50" s="12"/>
      <c r="S50" s="12"/>
      <c r="T50" s="12"/>
      <c r="U50" s="12"/>
      <c r="V50" s="12"/>
      <c r="W50" s="12"/>
      <c r="X50" s="12"/>
      <c r="Y50" s="12"/>
    </row>
    <row r="51" spans="1:25" ht="13.5" thickBot="1" x14ac:dyDescent="0.25">
      <c r="A51" s="361" t="s">
        <v>278</v>
      </c>
      <c r="B51" s="359">
        <f>ROW(A51)</f>
        <v>51</v>
      </c>
      <c r="C51" s="363" t="s">
        <v>115</v>
      </c>
      <c r="D51" s="353">
        <f>SUM(B54:Y54)</f>
        <v>18.123500000000003</v>
      </c>
      <c r="E51" s="363" t="s">
        <v>114</v>
      </c>
      <c r="F51" s="399">
        <f>D51/g/J51</f>
        <v>3.0790859667006463</v>
      </c>
      <c r="G51" s="363" t="s">
        <v>56</v>
      </c>
      <c r="H51" s="64">
        <v>0.7</v>
      </c>
      <c r="I51" s="363" t="s">
        <v>271</v>
      </c>
      <c r="J51" s="355">
        <f>H51-L51</f>
        <v>0.6</v>
      </c>
      <c r="K51" s="363" t="s">
        <v>272</v>
      </c>
      <c r="L51" s="64">
        <v>0.1</v>
      </c>
      <c r="M51" s="363" t="s">
        <v>57</v>
      </c>
      <c r="N51" s="65">
        <f>0.3*R51</f>
        <v>90</v>
      </c>
      <c r="O51" s="363" t="s">
        <v>59</v>
      </c>
      <c r="P51" s="65">
        <v>150</v>
      </c>
      <c r="Q51" s="363" t="s">
        <v>60</v>
      </c>
      <c r="R51" s="65">
        <v>300</v>
      </c>
      <c r="S51" s="363" t="s">
        <v>61</v>
      </c>
      <c r="T51" s="65">
        <v>98</v>
      </c>
      <c r="U51" s="363" t="s">
        <v>54</v>
      </c>
      <c r="V51" s="66" t="s">
        <v>276</v>
      </c>
      <c r="W51" s="12"/>
      <c r="X51" s="12"/>
      <c r="Y51" s="12"/>
    </row>
    <row r="52" spans="1:25" x14ac:dyDescent="0.2">
      <c r="A52" s="362" t="s">
        <v>33</v>
      </c>
      <c r="B52" s="370">
        <v>0</v>
      </c>
      <c r="C52" s="371">
        <v>1E-3</v>
      </c>
      <c r="D52" s="371">
        <v>0.02</v>
      </c>
      <c r="E52" s="371">
        <v>0.04</v>
      </c>
      <c r="F52" s="371">
        <v>0.06</v>
      </c>
      <c r="G52" s="371">
        <v>0.08</v>
      </c>
      <c r="H52" s="371">
        <v>8.1000000000000003E-2</v>
      </c>
      <c r="I52" s="371">
        <v>8.1000000000000003E-2</v>
      </c>
      <c r="J52" s="371">
        <v>8.1000000000000003E-2</v>
      </c>
      <c r="K52" s="371">
        <v>8.1000000000000003E-2</v>
      </c>
      <c r="L52" s="371">
        <v>8.1000000000000003E-2</v>
      </c>
      <c r="M52" s="371">
        <v>8.1000000000000003E-2</v>
      </c>
      <c r="N52" s="371">
        <v>8.1000000000000003E-2</v>
      </c>
      <c r="O52" s="371">
        <v>8.1000000000000003E-2</v>
      </c>
      <c r="P52" s="371">
        <v>8.1000000000000003E-2</v>
      </c>
      <c r="Q52" s="371">
        <v>8.1000000000000003E-2</v>
      </c>
      <c r="R52" s="371">
        <v>8.1000000000000003E-2</v>
      </c>
      <c r="S52" s="371">
        <v>8.1000000000000003E-2</v>
      </c>
      <c r="T52" s="371">
        <v>8.1000000000000003E-2</v>
      </c>
      <c r="U52" s="371">
        <v>8.1000000000000003E-2</v>
      </c>
      <c r="V52" s="371">
        <v>8.1000000000000003E-2</v>
      </c>
      <c r="W52" s="371">
        <v>8.1000000000000003E-2</v>
      </c>
      <c r="X52" s="371">
        <v>8.1000000000000003E-2</v>
      </c>
      <c r="Y52" s="381">
        <v>1000</v>
      </c>
    </row>
    <row r="53" spans="1:25" x14ac:dyDescent="0.2">
      <c r="A53" s="378" t="s">
        <v>34</v>
      </c>
      <c r="B53" s="372">
        <v>0</v>
      </c>
      <c r="C53" s="373">
        <v>310</v>
      </c>
      <c r="D53" s="373">
        <v>260</v>
      </c>
      <c r="E53" s="373">
        <v>220</v>
      </c>
      <c r="F53" s="373">
        <v>190</v>
      </c>
      <c r="G53" s="373">
        <v>167</v>
      </c>
      <c r="H53" s="373">
        <v>0</v>
      </c>
      <c r="I53" s="373">
        <v>0</v>
      </c>
      <c r="J53" s="373">
        <v>0</v>
      </c>
      <c r="K53" s="373">
        <v>0</v>
      </c>
      <c r="L53" s="373">
        <v>0</v>
      </c>
      <c r="M53" s="373">
        <v>0</v>
      </c>
      <c r="N53" s="373">
        <v>0</v>
      </c>
      <c r="O53" s="373">
        <v>0</v>
      </c>
      <c r="P53" s="373">
        <v>0</v>
      </c>
      <c r="Q53" s="373">
        <v>0</v>
      </c>
      <c r="R53" s="373">
        <v>0</v>
      </c>
      <c r="S53" s="373">
        <v>0</v>
      </c>
      <c r="T53" s="373">
        <v>0</v>
      </c>
      <c r="U53" s="373">
        <v>0</v>
      </c>
      <c r="V53" s="373">
        <v>0</v>
      </c>
      <c r="W53" s="373">
        <v>0</v>
      </c>
      <c r="X53" s="373">
        <v>0</v>
      </c>
      <c r="Y53" s="382">
        <v>0</v>
      </c>
    </row>
    <row r="54" spans="1:25" ht="13.5" thickBot="1" x14ac:dyDescent="0.25">
      <c r="A54" s="379" t="s">
        <v>116</v>
      </c>
      <c r="B54" s="374">
        <f t="shared" ref="B54:X54" si="7">(C53+B53)*(C52-B52)/2</f>
        <v>0.155</v>
      </c>
      <c r="C54" s="375">
        <f t="shared" si="7"/>
        <v>5.415</v>
      </c>
      <c r="D54" s="375">
        <f t="shared" si="7"/>
        <v>4.8</v>
      </c>
      <c r="E54" s="375">
        <f t="shared" si="7"/>
        <v>4.0999999999999996</v>
      </c>
      <c r="F54" s="375">
        <f t="shared" si="7"/>
        <v>3.5700000000000007</v>
      </c>
      <c r="G54" s="375">
        <f t="shared" si="7"/>
        <v>8.3500000000000074E-2</v>
      </c>
      <c r="H54" s="375">
        <f t="shared" si="7"/>
        <v>0</v>
      </c>
      <c r="I54" s="375">
        <f t="shared" si="7"/>
        <v>0</v>
      </c>
      <c r="J54" s="375">
        <f t="shared" si="7"/>
        <v>0</v>
      </c>
      <c r="K54" s="375">
        <f t="shared" si="7"/>
        <v>0</v>
      </c>
      <c r="L54" s="375">
        <f t="shared" si="7"/>
        <v>0</v>
      </c>
      <c r="M54" s="375">
        <f t="shared" si="7"/>
        <v>0</v>
      </c>
      <c r="N54" s="375">
        <f t="shared" si="7"/>
        <v>0</v>
      </c>
      <c r="O54" s="375">
        <f t="shared" si="7"/>
        <v>0</v>
      </c>
      <c r="P54" s="375">
        <f t="shared" si="7"/>
        <v>0</v>
      </c>
      <c r="Q54" s="375">
        <f t="shared" si="7"/>
        <v>0</v>
      </c>
      <c r="R54" s="375">
        <f t="shared" si="7"/>
        <v>0</v>
      </c>
      <c r="S54" s="375">
        <f t="shared" si="7"/>
        <v>0</v>
      </c>
      <c r="T54" s="375">
        <f t="shared" si="7"/>
        <v>0</v>
      </c>
      <c r="U54" s="375">
        <f t="shared" si="7"/>
        <v>0</v>
      </c>
      <c r="V54" s="375">
        <f t="shared" si="7"/>
        <v>0</v>
      </c>
      <c r="W54" s="375">
        <f t="shared" si="7"/>
        <v>0</v>
      </c>
      <c r="X54" s="375">
        <f t="shared" si="7"/>
        <v>0</v>
      </c>
      <c r="Y54" s="369"/>
    </row>
    <row r="55" spans="1:25" ht="13.5" thickBot="1" x14ac:dyDescent="0.25">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3.5" thickBot="1" x14ac:dyDescent="0.25">
      <c r="A56" s="361" t="s">
        <v>279</v>
      </c>
      <c r="B56" s="359">
        <f>ROW(A56)</f>
        <v>56</v>
      </c>
      <c r="C56" s="363" t="s">
        <v>115</v>
      </c>
      <c r="D56" s="353">
        <f>SUM(B59:Y59)</f>
        <v>22.610000000000003</v>
      </c>
      <c r="E56" s="363" t="s">
        <v>114</v>
      </c>
      <c r="F56" s="399">
        <f>D56/g/J56</f>
        <v>2.88098878695209</v>
      </c>
      <c r="G56" s="363" t="s">
        <v>56</v>
      </c>
      <c r="H56" s="64">
        <v>0.9</v>
      </c>
      <c r="I56" s="363" t="s">
        <v>271</v>
      </c>
      <c r="J56" s="355">
        <f>H56-L56</f>
        <v>0.8</v>
      </c>
      <c r="K56" s="363" t="s">
        <v>272</v>
      </c>
      <c r="L56" s="64">
        <v>0.1</v>
      </c>
      <c r="M56" s="363" t="s">
        <v>57</v>
      </c>
      <c r="N56" s="65">
        <f>0.4*R56</f>
        <v>120</v>
      </c>
      <c r="O56" s="363" t="s">
        <v>59</v>
      </c>
      <c r="P56" s="65">
        <v>150</v>
      </c>
      <c r="Q56" s="363" t="s">
        <v>60</v>
      </c>
      <c r="R56" s="65">
        <v>300</v>
      </c>
      <c r="S56" s="363" t="s">
        <v>61</v>
      </c>
      <c r="T56" s="65">
        <v>98</v>
      </c>
      <c r="U56" s="363" t="s">
        <v>54</v>
      </c>
      <c r="V56" s="66" t="s">
        <v>276</v>
      </c>
      <c r="W56" s="12"/>
      <c r="X56" s="12"/>
      <c r="Y56" s="12"/>
    </row>
    <row r="57" spans="1:25" x14ac:dyDescent="0.2">
      <c r="A57" s="362" t="s">
        <v>33</v>
      </c>
      <c r="B57" s="370">
        <v>0</v>
      </c>
      <c r="C57" s="371">
        <v>1E-3</v>
      </c>
      <c r="D57" s="371">
        <v>0.02</v>
      </c>
      <c r="E57" s="371">
        <v>0.04</v>
      </c>
      <c r="F57" s="371">
        <v>0.06</v>
      </c>
      <c r="G57" s="371">
        <v>0.08</v>
      </c>
      <c r="H57" s="371">
        <v>0.1</v>
      </c>
      <c r="I57" s="371">
        <v>0.11700000000000001</v>
      </c>
      <c r="J57" s="371">
        <v>0.11799999999999999</v>
      </c>
      <c r="K57" s="371">
        <v>0.11799999999999999</v>
      </c>
      <c r="L57" s="371">
        <v>0.11799999999999999</v>
      </c>
      <c r="M57" s="371">
        <v>0.11799999999999999</v>
      </c>
      <c r="N57" s="371">
        <v>0.11799999999999999</v>
      </c>
      <c r="O57" s="371">
        <v>0.11799999999999999</v>
      </c>
      <c r="P57" s="371">
        <v>0.11799999999999999</v>
      </c>
      <c r="Q57" s="371">
        <v>0.11799999999999999</v>
      </c>
      <c r="R57" s="371">
        <v>0.11799999999999999</v>
      </c>
      <c r="S57" s="371">
        <v>0.11799999999999999</v>
      </c>
      <c r="T57" s="371">
        <v>0.11799999999999999</v>
      </c>
      <c r="U57" s="371">
        <v>0.11799999999999999</v>
      </c>
      <c r="V57" s="371">
        <v>0.11799999999999999</v>
      </c>
      <c r="W57" s="371">
        <v>0.11799999999999999</v>
      </c>
      <c r="X57" s="371">
        <v>0.11799999999999999</v>
      </c>
      <c r="Y57" s="381">
        <v>1000</v>
      </c>
    </row>
    <row r="58" spans="1:25" x14ac:dyDescent="0.2">
      <c r="A58" s="378" t="s">
        <v>34</v>
      </c>
      <c r="B58" s="372">
        <v>0</v>
      </c>
      <c r="C58" s="373">
        <v>310</v>
      </c>
      <c r="D58" s="373">
        <v>250</v>
      </c>
      <c r="E58" s="373">
        <v>210</v>
      </c>
      <c r="F58" s="373">
        <v>180</v>
      </c>
      <c r="G58" s="373">
        <v>156</v>
      </c>
      <c r="H58" s="373">
        <v>140</v>
      </c>
      <c r="I58" s="373">
        <v>125</v>
      </c>
      <c r="J58" s="373">
        <v>0</v>
      </c>
      <c r="K58" s="373">
        <v>0</v>
      </c>
      <c r="L58" s="373">
        <v>0</v>
      </c>
      <c r="M58" s="373">
        <v>0</v>
      </c>
      <c r="N58" s="373">
        <v>0</v>
      </c>
      <c r="O58" s="373">
        <v>0</v>
      </c>
      <c r="P58" s="373">
        <v>0</v>
      </c>
      <c r="Q58" s="373">
        <v>0</v>
      </c>
      <c r="R58" s="373">
        <v>0</v>
      </c>
      <c r="S58" s="373">
        <v>0</v>
      </c>
      <c r="T58" s="373">
        <v>0</v>
      </c>
      <c r="U58" s="373">
        <v>0</v>
      </c>
      <c r="V58" s="373">
        <v>0</v>
      </c>
      <c r="W58" s="373">
        <v>0</v>
      </c>
      <c r="X58" s="373">
        <v>0</v>
      </c>
      <c r="Y58" s="382">
        <v>0</v>
      </c>
    </row>
    <row r="59" spans="1:25" ht="13.5" thickBot="1" x14ac:dyDescent="0.25">
      <c r="A59" s="379" t="s">
        <v>116</v>
      </c>
      <c r="B59" s="374">
        <f t="shared" ref="B59:X59" si="8">(C58+B58)*(C57-B57)/2</f>
        <v>0.155</v>
      </c>
      <c r="C59" s="375">
        <f t="shared" si="8"/>
        <v>5.32</v>
      </c>
      <c r="D59" s="375">
        <f t="shared" si="8"/>
        <v>4.6000000000000005</v>
      </c>
      <c r="E59" s="375">
        <f t="shared" si="8"/>
        <v>3.8999999999999995</v>
      </c>
      <c r="F59" s="375">
        <f t="shared" si="8"/>
        <v>3.3600000000000008</v>
      </c>
      <c r="G59" s="375">
        <f t="shared" si="8"/>
        <v>2.9600000000000004</v>
      </c>
      <c r="H59" s="375">
        <f t="shared" si="8"/>
        <v>2.2524999999999999</v>
      </c>
      <c r="I59" s="375">
        <f t="shared" si="8"/>
        <v>6.2499999999999188E-2</v>
      </c>
      <c r="J59" s="375">
        <f t="shared" si="8"/>
        <v>0</v>
      </c>
      <c r="K59" s="375">
        <f t="shared" si="8"/>
        <v>0</v>
      </c>
      <c r="L59" s="375">
        <f t="shared" si="8"/>
        <v>0</v>
      </c>
      <c r="M59" s="375">
        <f t="shared" si="8"/>
        <v>0</v>
      </c>
      <c r="N59" s="375">
        <f t="shared" si="8"/>
        <v>0</v>
      </c>
      <c r="O59" s="375">
        <f t="shared" si="8"/>
        <v>0</v>
      </c>
      <c r="P59" s="375">
        <f t="shared" si="8"/>
        <v>0</v>
      </c>
      <c r="Q59" s="375">
        <f t="shared" si="8"/>
        <v>0</v>
      </c>
      <c r="R59" s="375">
        <f t="shared" si="8"/>
        <v>0</v>
      </c>
      <c r="S59" s="375">
        <f t="shared" si="8"/>
        <v>0</v>
      </c>
      <c r="T59" s="375">
        <f t="shared" si="8"/>
        <v>0</v>
      </c>
      <c r="U59" s="375">
        <f t="shared" si="8"/>
        <v>0</v>
      </c>
      <c r="V59" s="375">
        <f t="shared" si="8"/>
        <v>0</v>
      </c>
      <c r="W59" s="375">
        <f t="shared" si="8"/>
        <v>0</v>
      </c>
      <c r="X59" s="375">
        <f t="shared" si="8"/>
        <v>0</v>
      </c>
      <c r="Y59" s="369"/>
    </row>
    <row r="60" spans="1:25" ht="13.5" thickBot="1" x14ac:dyDescent="0.25">
      <c r="A60" s="12"/>
      <c r="L60" s="12"/>
      <c r="M60" s="12"/>
      <c r="N60" s="12"/>
      <c r="O60" s="12"/>
      <c r="P60" s="12"/>
      <c r="Q60" s="12"/>
      <c r="R60" s="12"/>
      <c r="S60" s="12"/>
      <c r="T60" s="12"/>
      <c r="U60" s="12"/>
      <c r="V60" s="12"/>
      <c r="W60" s="12"/>
      <c r="X60" s="12"/>
      <c r="Y60" s="12"/>
    </row>
    <row r="61" spans="1:25" ht="13.5" thickBot="1" x14ac:dyDescent="0.25">
      <c r="A61" s="361" t="s">
        <v>280</v>
      </c>
      <c r="B61" s="359">
        <f>ROW(A61)</f>
        <v>61</v>
      </c>
      <c r="C61" s="363" t="s">
        <v>115</v>
      </c>
      <c r="D61" s="353">
        <f>SUM(B64:Y64)</f>
        <v>25.874000000000006</v>
      </c>
      <c r="E61" s="363" t="s">
        <v>114</v>
      </c>
      <c r="F61" s="399">
        <f>D61/g/J61</f>
        <v>2.6375127420998985</v>
      </c>
      <c r="G61" s="363" t="s">
        <v>56</v>
      </c>
      <c r="H61" s="64">
        <v>1.1000000000000001</v>
      </c>
      <c r="I61" s="363" t="s">
        <v>271</v>
      </c>
      <c r="J61" s="355">
        <f>H61-L61</f>
        <v>1</v>
      </c>
      <c r="K61" s="363" t="s">
        <v>272</v>
      </c>
      <c r="L61" s="64">
        <v>0.1</v>
      </c>
      <c r="M61" s="363" t="s">
        <v>57</v>
      </c>
      <c r="N61" s="65">
        <f>0.5*R61</f>
        <v>150</v>
      </c>
      <c r="O61" s="363" t="s">
        <v>59</v>
      </c>
      <c r="P61" s="65">
        <v>150</v>
      </c>
      <c r="Q61" s="363" t="s">
        <v>60</v>
      </c>
      <c r="R61" s="65">
        <v>300</v>
      </c>
      <c r="S61" s="363" t="s">
        <v>61</v>
      </c>
      <c r="T61" s="65">
        <v>98</v>
      </c>
      <c r="U61" s="363" t="s">
        <v>54</v>
      </c>
      <c r="V61" s="66" t="s">
        <v>276</v>
      </c>
      <c r="W61" s="12"/>
      <c r="X61" s="12"/>
      <c r="Y61" s="12"/>
    </row>
    <row r="62" spans="1:25" x14ac:dyDescent="0.2">
      <c r="A62" s="362" t="s">
        <v>33</v>
      </c>
      <c r="B62" s="370">
        <v>0</v>
      </c>
      <c r="C62" s="371">
        <v>1E-3</v>
      </c>
      <c r="D62" s="371">
        <v>0.02</v>
      </c>
      <c r="E62" s="371">
        <v>0.04</v>
      </c>
      <c r="F62" s="371">
        <v>0.06</v>
      </c>
      <c r="G62" s="371">
        <v>0.08</v>
      </c>
      <c r="H62" s="371">
        <v>0.1</v>
      </c>
      <c r="I62" s="371">
        <v>0.12</v>
      </c>
      <c r="J62" s="371">
        <v>0.14000000000000001</v>
      </c>
      <c r="K62" s="371">
        <v>0.16400000000000001</v>
      </c>
      <c r="L62" s="371">
        <v>0.16500000000000001</v>
      </c>
      <c r="M62" s="371">
        <v>0.16500000000000001</v>
      </c>
      <c r="N62" s="371">
        <v>0.16500000000000001</v>
      </c>
      <c r="O62" s="371">
        <v>0.16500000000000001</v>
      </c>
      <c r="P62" s="371">
        <v>0.16500000000000001</v>
      </c>
      <c r="Q62" s="371">
        <v>0.16500000000000001</v>
      </c>
      <c r="R62" s="371">
        <v>0.16500000000000001</v>
      </c>
      <c r="S62" s="371">
        <v>0.16500000000000001</v>
      </c>
      <c r="T62" s="371">
        <v>0.16500000000000001</v>
      </c>
      <c r="U62" s="371">
        <v>0.16500000000000001</v>
      </c>
      <c r="V62" s="371">
        <v>0.16500000000000001</v>
      </c>
      <c r="W62" s="371">
        <v>0.16500000000000001</v>
      </c>
      <c r="X62" s="371">
        <v>0.16500000000000001</v>
      </c>
      <c r="Y62" s="381">
        <v>1000</v>
      </c>
    </row>
    <row r="63" spans="1:25" x14ac:dyDescent="0.2">
      <c r="A63" s="378" t="s">
        <v>34</v>
      </c>
      <c r="B63" s="372">
        <v>0</v>
      </c>
      <c r="C63" s="373">
        <v>310</v>
      </c>
      <c r="D63" s="373">
        <v>245</v>
      </c>
      <c r="E63" s="373">
        <v>200</v>
      </c>
      <c r="F63" s="373">
        <v>165</v>
      </c>
      <c r="G63" s="373">
        <v>143</v>
      </c>
      <c r="H63" s="373">
        <v>124</v>
      </c>
      <c r="I63" s="373">
        <v>108</v>
      </c>
      <c r="J63" s="373">
        <v>97</v>
      </c>
      <c r="K63" s="373">
        <v>85</v>
      </c>
      <c r="L63" s="373">
        <v>0</v>
      </c>
      <c r="M63" s="373">
        <v>0</v>
      </c>
      <c r="N63" s="373">
        <v>0</v>
      </c>
      <c r="O63" s="373">
        <v>0</v>
      </c>
      <c r="P63" s="373">
        <v>0</v>
      </c>
      <c r="Q63" s="373">
        <v>0</v>
      </c>
      <c r="R63" s="373">
        <v>0</v>
      </c>
      <c r="S63" s="373">
        <v>0</v>
      </c>
      <c r="T63" s="373">
        <v>0</v>
      </c>
      <c r="U63" s="373">
        <v>0</v>
      </c>
      <c r="V63" s="373">
        <v>0</v>
      </c>
      <c r="W63" s="373">
        <v>0</v>
      </c>
      <c r="X63" s="373">
        <v>0</v>
      </c>
      <c r="Y63" s="382">
        <v>0</v>
      </c>
    </row>
    <row r="64" spans="1:25" ht="13.5" thickBot="1" x14ac:dyDescent="0.25">
      <c r="A64" s="379" t="s">
        <v>116</v>
      </c>
      <c r="B64" s="374">
        <f t="shared" ref="B64:X64" si="9">(C63+B63)*(C62-B62)/2</f>
        <v>0.155</v>
      </c>
      <c r="C64" s="375">
        <f t="shared" si="9"/>
        <v>5.2725</v>
      </c>
      <c r="D64" s="375">
        <f t="shared" si="9"/>
        <v>4.45</v>
      </c>
      <c r="E64" s="375">
        <f t="shared" si="9"/>
        <v>3.6499999999999995</v>
      </c>
      <c r="F64" s="375">
        <f t="shared" si="9"/>
        <v>3.0800000000000005</v>
      </c>
      <c r="G64" s="375">
        <f t="shared" si="9"/>
        <v>2.6700000000000004</v>
      </c>
      <c r="H64" s="375">
        <f t="shared" si="9"/>
        <v>2.319999999999999</v>
      </c>
      <c r="I64" s="375">
        <f t="shared" si="9"/>
        <v>2.0500000000000016</v>
      </c>
      <c r="J64" s="375">
        <f t="shared" si="9"/>
        <v>2.1839999999999993</v>
      </c>
      <c r="K64" s="375">
        <f t="shared" si="9"/>
        <v>4.2500000000000038E-2</v>
      </c>
      <c r="L64" s="375">
        <f t="shared" si="9"/>
        <v>0</v>
      </c>
      <c r="M64" s="375">
        <f t="shared" si="9"/>
        <v>0</v>
      </c>
      <c r="N64" s="375">
        <f t="shared" si="9"/>
        <v>0</v>
      </c>
      <c r="O64" s="375">
        <f t="shared" si="9"/>
        <v>0</v>
      </c>
      <c r="P64" s="375">
        <f t="shared" si="9"/>
        <v>0</v>
      </c>
      <c r="Q64" s="375">
        <f t="shared" si="9"/>
        <v>0</v>
      </c>
      <c r="R64" s="375">
        <f t="shared" si="9"/>
        <v>0</v>
      </c>
      <c r="S64" s="375">
        <f t="shared" si="9"/>
        <v>0</v>
      </c>
      <c r="T64" s="375">
        <f t="shared" si="9"/>
        <v>0</v>
      </c>
      <c r="U64" s="375">
        <f t="shared" si="9"/>
        <v>0</v>
      </c>
      <c r="V64" s="375">
        <f t="shared" si="9"/>
        <v>0</v>
      </c>
      <c r="W64" s="375">
        <f t="shared" si="9"/>
        <v>0</v>
      </c>
      <c r="X64" s="375">
        <f t="shared" si="9"/>
        <v>0</v>
      </c>
      <c r="Y64" s="369"/>
    </row>
    <row r="66" spans="1:26" ht="13.5" thickBot="1" x14ac:dyDescent="0.25">
      <c r="A66" s="6" t="s">
        <v>181</v>
      </c>
    </row>
    <row r="67" spans="1:26" ht="13.5" thickBot="1" x14ac:dyDescent="0.25">
      <c r="A67" s="361" t="s">
        <v>111</v>
      </c>
      <c r="B67" s="359">
        <f>ROW(A67)</f>
        <v>67</v>
      </c>
      <c r="C67" s="363" t="s">
        <v>115</v>
      </c>
      <c r="D67" s="353">
        <f>SUM(B70:Y70)</f>
        <v>2.65</v>
      </c>
      <c r="E67" s="363" t="s">
        <v>114</v>
      </c>
      <c r="F67" s="354">
        <f>D67/g/J67</f>
        <v>54.026503567787969</v>
      </c>
      <c r="G67" s="363" t="s">
        <v>56</v>
      </c>
      <c r="H67" s="64">
        <v>1.4999999999999999E-2</v>
      </c>
      <c r="I67" s="363" t="s">
        <v>271</v>
      </c>
      <c r="J67" s="355">
        <f>H67-L67</f>
        <v>4.9999999999999992E-3</v>
      </c>
      <c r="K67" s="363" t="s">
        <v>272</v>
      </c>
      <c r="L67" s="64">
        <v>0.01</v>
      </c>
      <c r="M67" s="363" t="s">
        <v>57</v>
      </c>
      <c r="N67" s="65">
        <v>30</v>
      </c>
      <c r="O67" s="363" t="s">
        <v>59</v>
      </c>
      <c r="P67" s="65">
        <v>30</v>
      </c>
      <c r="Q67" s="363" t="s">
        <v>60</v>
      </c>
      <c r="R67" s="65">
        <v>70</v>
      </c>
      <c r="S67" s="363" t="s">
        <v>61</v>
      </c>
      <c r="T67" s="65">
        <v>15</v>
      </c>
      <c r="U67" s="363" t="s">
        <v>54</v>
      </c>
      <c r="V67" s="66" t="s">
        <v>117</v>
      </c>
      <c r="W67" s="463" t="s">
        <v>394</v>
      </c>
      <c r="X67" s="465">
        <v>0.32</v>
      </c>
      <c r="Y67" s="463" t="s">
        <v>393</v>
      </c>
      <c r="Z67" s="358">
        <v>3</v>
      </c>
    </row>
    <row r="68" spans="1:26" x14ac:dyDescent="0.2">
      <c r="A68" s="362" t="s">
        <v>33</v>
      </c>
      <c r="B68" s="370">
        <v>0</v>
      </c>
      <c r="C68" s="371">
        <v>0.2</v>
      </c>
      <c r="D68" s="371">
        <v>0.3</v>
      </c>
      <c r="E68" s="371">
        <v>0.4</v>
      </c>
      <c r="F68" s="371">
        <v>0.5</v>
      </c>
      <c r="G68" s="371">
        <v>0.55000000000000004</v>
      </c>
      <c r="H68" s="371">
        <v>0.6</v>
      </c>
      <c r="I68" s="371">
        <v>0.6</v>
      </c>
      <c r="J68" s="371">
        <v>0.6</v>
      </c>
      <c r="K68" s="371">
        <v>0.6</v>
      </c>
      <c r="L68" s="371">
        <v>0.6</v>
      </c>
      <c r="M68" s="371">
        <v>0.6</v>
      </c>
      <c r="N68" s="371">
        <v>0.6</v>
      </c>
      <c r="O68" s="371">
        <v>0.6</v>
      </c>
      <c r="P68" s="371">
        <v>0.6</v>
      </c>
      <c r="Q68" s="371">
        <v>0.6</v>
      </c>
      <c r="R68" s="371">
        <v>0.6</v>
      </c>
      <c r="S68" s="371">
        <v>0.6</v>
      </c>
      <c r="T68" s="371">
        <v>0.6</v>
      </c>
      <c r="U68" s="371">
        <v>0.6</v>
      </c>
      <c r="V68" s="371">
        <v>0.6</v>
      </c>
      <c r="W68" s="371">
        <v>0.6</v>
      </c>
      <c r="X68" s="371">
        <v>0.6</v>
      </c>
      <c r="Y68" s="381">
        <v>1000</v>
      </c>
    </row>
    <row r="69" spans="1:26" x14ac:dyDescent="0.2">
      <c r="A69" s="378" t="s">
        <v>34</v>
      </c>
      <c r="B69" s="372">
        <v>0</v>
      </c>
      <c r="C69" s="373">
        <v>9</v>
      </c>
      <c r="D69" s="373">
        <v>4.5</v>
      </c>
      <c r="E69" s="373">
        <v>4</v>
      </c>
      <c r="F69" s="373">
        <v>4</v>
      </c>
      <c r="G69" s="373">
        <v>3</v>
      </c>
      <c r="H69" s="373">
        <v>0</v>
      </c>
      <c r="I69" s="373">
        <v>0</v>
      </c>
      <c r="J69" s="373">
        <v>0</v>
      </c>
      <c r="K69" s="373">
        <v>0</v>
      </c>
      <c r="L69" s="373">
        <v>0</v>
      </c>
      <c r="M69" s="373">
        <v>0</v>
      </c>
      <c r="N69" s="373">
        <v>0</v>
      </c>
      <c r="O69" s="373">
        <v>0</v>
      </c>
      <c r="P69" s="373">
        <v>0</v>
      </c>
      <c r="Q69" s="373">
        <v>0</v>
      </c>
      <c r="R69" s="373">
        <v>0</v>
      </c>
      <c r="S69" s="373">
        <v>0</v>
      </c>
      <c r="T69" s="373">
        <v>0</v>
      </c>
      <c r="U69" s="373">
        <v>0</v>
      </c>
      <c r="V69" s="373">
        <v>0</v>
      </c>
      <c r="W69" s="373">
        <v>0</v>
      </c>
      <c r="X69" s="373">
        <v>0</v>
      </c>
      <c r="Y69" s="382">
        <v>0</v>
      </c>
    </row>
    <row r="70" spans="1:26" ht="13.5" thickBot="1" x14ac:dyDescent="0.25">
      <c r="A70" s="379" t="s">
        <v>116</v>
      </c>
      <c r="B70" s="374">
        <f t="shared" ref="B70:X70" si="10">(C69+B69)*(C68-B68)/2</f>
        <v>0.9</v>
      </c>
      <c r="C70" s="375">
        <f t="shared" si="10"/>
        <v>0.67499999999999982</v>
      </c>
      <c r="D70" s="375">
        <f t="shared" si="10"/>
        <v>0.42500000000000016</v>
      </c>
      <c r="E70" s="375">
        <f t="shared" si="10"/>
        <v>0.39999999999999991</v>
      </c>
      <c r="F70" s="375">
        <f t="shared" si="10"/>
        <v>0.17500000000000016</v>
      </c>
      <c r="G70" s="375">
        <f t="shared" si="10"/>
        <v>7.49999999999999E-2</v>
      </c>
      <c r="H70" s="375">
        <f t="shared" si="10"/>
        <v>0</v>
      </c>
      <c r="I70" s="375">
        <f t="shared" si="10"/>
        <v>0</v>
      </c>
      <c r="J70" s="375">
        <f t="shared" si="10"/>
        <v>0</v>
      </c>
      <c r="K70" s="375">
        <f t="shared" si="10"/>
        <v>0</v>
      </c>
      <c r="L70" s="375">
        <f t="shared" si="10"/>
        <v>0</v>
      </c>
      <c r="M70" s="375">
        <f t="shared" si="10"/>
        <v>0</v>
      </c>
      <c r="N70" s="375">
        <f t="shared" si="10"/>
        <v>0</v>
      </c>
      <c r="O70" s="375">
        <f t="shared" si="10"/>
        <v>0</v>
      </c>
      <c r="P70" s="375">
        <f t="shared" si="10"/>
        <v>0</v>
      </c>
      <c r="Q70" s="375">
        <f t="shared" si="10"/>
        <v>0</v>
      </c>
      <c r="R70" s="375">
        <f t="shared" si="10"/>
        <v>0</v>
      </c>
      <c r="S70" s="375">
        <f t="shared" si="10"/>
        <v>0</v>
      </c>
      <c r="T70" s="375">
        <f t="shared" si="10"/>
        <v>0</v>
      </c>
      <c r="U70" s="375">
        <f t="shared" si="10"/>
        <v>0</v>
      </c>
      <c r="V70" s="375">
        <f t="shared" si="10"/>
        <v>0</v>
      </c>
      <c r="W70" s="375">
        <f t="shared" si="10"/>
        <v>0</v>
      </c>
      <c r="X70" s="375">
        <f t="shared" si="10"/>
        <v>0</v>
      </c>
      <c r="Y70" s="369"/>
    </row>
    <row r="71" spans="1:26" ht="13.5" thickBot="1" x14ac:dyDescent="0.25">
      <c r="A71" s="12"/>
      <c r="L71" s="12"/>
      <c r="M71" s="12"/>
      <c r="N71" s="12"/>
      <c r="O71" s="12"/>
      <c r="P71" s="12"/>
      <c r="Q71" s="12"/>
      <c r="R71" s="12"/>
      <c r="S71" s="12"/>
      <c r="T71" s="12"/>
      <c r="U71" s="12"/>
      <c r="V71" s="12"/>
      <c r="W71" s="12"/>
      <c r="X71" s="12"/>
      <c r="Y71" s="12"/>
    </row>
    <row r="72" spans="1:26" ht="13.5" thickBot="1" x14ac:dyDescent="0.25">
      <c r="A72" s="361" t="s">
        <v>112</v>
      </c>
      <c r="B72" s="359">
        <f>ROW(A72)</f>
        <v>72</v>
      </c>
      <c r="C72" s="363" t="s">
        <v>115</v>
      </c>
      <c r="D72" s="353">
        <f>SUM(B75:Y75)</f>
        <v>5.25</v>
      </c>
      <c r="E72" s="363" t="s">
        <v>114</v>
      </c>
      <c r="F72" s="354">
        <f>D72/g/J72</f>
        <v>89.1946992864424</v>
      </c>
      <c r="G72" s="363" t="s">
        <v>56</v>
      </c>
      <c r="H72" s="64">
        <v>0.02</v>
      </c>
      <c r="I72" s="363" t="s">
        <v>271</v>
      </c>
      <c r="J72" s="355">
        <f>H72-L72</f>
        <v>6.0000000000000001E-3</v>
      </c>
      <c r="K72" s="363" t="s">
        <v>272</v>
      </c>
      <c r="L72" s="64">
        <v>1.4E-2</v>
      </c>
      <c r="M72" s="363" t="s">
        <v>57</v>
      </c>
      <c r="N72" s="65">
        <v>30</v>
      </c>
      <c r="O72" s="363" t="s">
        <v>59</v>
      </c>
      <c r="P72" s="65">
        <v>30</v>
      </c>
      <c r="Q72" s="363" t="s">
        <v>60</v>
      </c>
      <c r="R72" s="65">
        <v>70</v>
      </c>
      <c r="S72" s="363" t="s">
        <v>61</v>
      </c>
      <c r="T72" s="65">
        <v>15</v>
      </c>
      <c r="U72" s="363" t="s">
        <v>54</v>
      </c>
      <c r="V72" s="66" t="s">
        <v>117</v>
      </c>
      <c r="W72" s="463" t="s">
        <v>394</v>
      </c>
      <c r="X72" s="465">
        <v>1.2</v>
      </c>
      <c r="Y72" s="463" t="s">
        <v>393</v>
      </c>
      <c r="Z72" s="358">
        <v>4</v>
      </c>
    </row>
    <row r="73" spans="1:26" x14ac:dyDescent="0.2">
      <c r="A73" s="362" t="s">
        <v>33</v>
      </c>
      <c r="B73" s="370">
        <v>0</v>
      </c>
      <c r="C73" s="371">
        <v>0.2</v>
      </c>
      <c r="D73" s="371">
        <v>0.3</v>
      </c>
      <c r="E73" s="371">
        <v>0.55000000000000004</v>
      </c>
      <c r="F73" s="371">
        <v>1.05</v>
      </c>
      <c r="G73" s="371">
        <v>1.1499999999999999</v>
      </c>
      <c r="H73" s="371">
        <v>1.1499999999999999</v>
      </c>
      <c r="I73" s="371">
        <v>1.1499999999999999</v>
      </c>
      <c r="J73" s="371">
        <v>1.1499999999999999</v>
      </c>
      <c r="K73" s="371">
        <v>1.1499999999999999</v>
      </c>
      <c r="L73" s="371">
        <v>1.1499999999999999</v>
      </c>
      <c r="M73" s="371">
        <v>1.1499999999999999</v>
      </c>
      <c r="N73" s="371">
        <v>1.1499999999999999</v>
      </c>
      <c r="O73" s="371">
        <v>1.1499999999999999</v>
      </c>
      <c r="P73" s="371">
        <v>1.1499999999999999</v>
      </c>
      <c r="Q73" s="371">
        <v>1.1499999999999999</v>
      </c>
      <c r="R73" s="371">
        <v>1.1499999999999999</v>
      </c>
      <c r="S73" s="371">
        <v>1.1499999999999999</v>
      </c>
      <c r="T73" s="371">
        <v>1.1499999999999999</v>
      </c>
      <c r="U73" s="371">
        <v>1.1499999999999999</v>
      </c>
      <c r="V73" s="371">
        <v>1.1499999999999999</v>
      </c>
      <c r="W73" s="371">
        <v>1.1499999999999999</v>
      </c>
      <c r="X73" s="371">
        <v>1.1499999999999999</v>
      </c>
      <c r="Y73" s="381">
        <v>1000</v>
      </c>
    </row>
    <row r="74" spans="1:26" x14ac:dyDescent="0.2">
      <c r="A74" s="378" t="s">
        <v>34</v>
      </c>
      <c r="B74" s="372">
        <v>0</v>
      </c>
      <c r="C74" s="373">
        <v>10</v>
      </c>
      <c r="D74" s="373">
        <v>6</v>
      </c>
      <c r="E74" s="373">
        <v>4</v>
      </c>
      <c r="F74" s="373">
        <v>4</v>
      </c>
      <c r="G74" s="373">
        <v>0</v>
      </c>
      <c r="H74" s="373">
        <v>0</v>
      </c>
      <c r="I74" s="373">
        <v>0</v>
      </c>
      <c r="J74" s="373">
        <v>0</v>
      </c>
      <c r="K74" s="373">
        <v>0</v>
      </c>
      <c r="L74" s="373">
        <v>0</v>
      </c>
      <c r="M74" s="373">
        <v>0</v>
      </c>
      <c r="N74" s="373">
        <v>0</v>
      </c>
      <c r="O74" s="373">
        <v>0</v>
      </c>
      <c r="P74" s="373">
        <v>0</v>
      </c>
      <c r="Q74" s="373">
        <v>0</v>
      </c>
      <c r="R74" s="373">
        <v>0</v>
      </c>
      <c r="S74" s="373">
        <v>0</v>
      </c>
      <c r="T74" s="373">
        <v>0</v>
      </c>
      <c r="U74" s="373">
        <v>0</v>
      </c>
      <c r="V74" s="373">
        <v>0</v>
      </c>
      <c r="W74" s="373">
        <v>0</v>
      </c>
      <c r="X74" s="373">
        <v>0</v>
      </c>
      <c r="Y74" s="382">
        <v>0</v>
      </c>
    </row>
    <row r="75" spans="1:26" ht="13.5" thickBot="1" x14ac:dyDescent="0.25">
      <c r="A75" s="379" t="s">
        <v>116</v>
      </c>
      <c r="B75" s="374">
        <f t="shared" ref="B75:V75" si="11">(C74+B74)*(C73-B73)/2</f>
        <v>1</v>
      </c>
      <c r="C75" s="375">
        <f t="shared" si="11"/>
        <v>0.79999999999999982</v>
      </c>
      <c r="D75" s="375">
        <f t="shared" si="11"/>
        <v>1.2500000000000002</v>
      </c>
      <c r="E75" s="375">
        <f t="shared" si="11"/>
        <v>2</v>
      </c>
      <c r="F75" s="375">
        <f t="shared" si="11"/>
        <v>0.19999999999999973</v>
      </c>
      <c r="G75" s="375">
        <f t="shared" si="11"/>
        <v>0</v>
      </c>
      <c r="H75" s="375">
        <f t="shared" si="11"/>
        <v>0</v>
      </c>
      <c r="I75" s="375">
        <f t="shared" si="11"/>
        <v>0</v>
      </c>
      <c r="J75" s="375">
        <f>(K74+J74)*(K73-J73)/2</f>
        <v>0</v>
      </c>
      <c r="K75" s="375">
        <f t="shared" si="11"/>
        <v>0</v>
      </c>
      <c r="L75" s="375">
        <f t="shared" si="11"/>
        <v>0</v>
      </c>
      <c r="M75" s="375">
        <f t="shared" si="11"/>
        <v>0</v>
      </c>
      <c r="N75" s="375">
        <f t="shared" si="11"/>
        <v>0</v>
      </c>
      <c r="O75" s="375">
        <f t="shared" si="11"/>
        <v>0</v>
      </c>
      <c r="P75" s="375">
        <f t="shared" si="11"/>
        <v>0</v>
      </c>
      <c r="Q75" s="375">
        <f t="shared" si="11"/>
        <v>0</v>
      </c>
      <c r="R75" s="375">
        <f t="shared" si="11"/>
        <v>0</v>
      </c>
      <c r="S75" s="375">
        <f>(T74+S74)*(T73-S73)/2</f>
        <v>0</v>
      </c>
      <c r="T75" s="375">
        <f t="shared" si="11"/>
        <v>0</v>
      </c>
      <c r="U75" s="375">
        <f t="shared" si="11"/>
        <v>0</v>
      </c>
      <c r="V75" s="375">
        <f t="shared" si="11"/>
        <v>0</v>
      </c>
      <c r="W75" s="375">
        <f>(X74+W74)*(X73-W73)/2</f>
        <v>0</v>
      </c>
      <c r="X75" s="375">
        <f>(Y74+X74)*(Y73-X73)/2</f>
        <v>0</v>
      </c>
      <c r="Y75" s="369"/>
    </row>
    <row r="76" spans="1:26" ht="13.5" thickBot="1" x14ac:dyDescent="0.25">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6" ht="13.5" thickBot="1" x14ac:dyDescent="0.25">
      <c r="A77" s="361" t="s">
        <v>113</v>
      </c>
      <c r="B77" s="359">
        <f>ROW(A77)</f>
        <v>77</v>
      </c>
      <c r="C77" s="363" t="s">
        <v>115</v>
      </c>
      <c r="D77" s="353">
        <f>SUM(B80:Y80)</f>
        <v>10.26</v>
      </c>
      <c r="E77" s="363" t="s">
        <v>114</v>
      </c>
      <c r="F77" s="354">
        <f>D77/g/J77</f>
        <v>80.451658433309802</v>
      </c>
      <c r="G77" s="363" t="s">
        <v>56</v>
      </c>
      <c r="H77" s="64">
        <v>2.4E-2</v>
      </c>
      <c r="I77" s="363" t="s">
        <v>271</v>
      </c>
      <c r="J77" s="355">
        <f>H77-L77</f>
        <v>1.3000000000000001E-2</v>
      </c>
      <c r="K77" s="363" t="s">
        <v>272</v>
      </c>
      <c r="L77" s="64">
        <v>1.0999999999999999E-2</v>
      </c>
      <c r="M77" s="363" t="s">
        <v>57</v>
      </c>
      <c r="N77" s="65">
        <v>30</v>
      </c>
      <c r="O77" s="363" t="s">
        <v>59</v>
      </c>
      <c r="P77" s="65">
        <v>30</v>
      </c>
      <c r="Q77" s="363" t="s">
        <v>60</v>
      </c>
      <c r="R77" s="65">
        <v>70</v>
      </c>
      <c r="S77" s="363" t="s">
        <v>61</v>
      </c>
      <c r="T77" s="65">
        <v>15</v>
      </c>
      <c r="U77" s="363" t="s">
        <v>54</v>
      </c>
      <c r="V77" s="66" t="s">
        <v>117</v>
      </c>
      <c r="W77" s="463" t="s">
        <v>394</v>
      </c>
      <c r="X77" s="465">
        <v>1.7</v>
      </c>
      <c r="Y77" s="463" t="s">
        <v>393</v>
      </c>
      <c r="Z77" s="358">
        <v>3</v>
      </c>
    </row>
    <row r="78" spans="1:26" x14ac:dyDescent="0.2">
      <c r="A78" s="362" t="s">
        <v>33</v>
      </c>
      <c r="B78" s="370">
        <v>0</v>
      </c>
      <c r="C78" s="371">
        <v>0.2</v>
      </c>
      <c r="D78" s="371">
        <v>0.3</v>
      </c>
      <c r="E78" s="371">
        <v>0.6</v>
      </c>
      <c r="F78" s="371">
        <v>0.8</v>
      </c>
      <c r="G78" s="371">
        <v>2</v>
      </c>
      <c r="H78" s="371">
        <v>2.1</v>
      </c>
      <c r="I78" s="371">
        <v>2.1</v>
      </c>
      <c r="J78" s="371">
        <v>2.1</v>
      </c>
      <c r="K78" s="371">
        <v>2.1</v>
      </c>
      <c r="L78" s="371">
        <v>2.1</v>
      </c>
      <c r="M78" s="371">
        <v>2.1</v>
      </c>
      <c r="N78" s="371">
        <v>2.1</v>
      </c>
      <c r="O78" s="371">
        <v>2.1</v>
      </c>
      <c r="P78" s="371">
        <v>2.1</v>
      </c>
      <c r="Q78" s="371">
        <v>2.1</v>
      </c>
      <c r="R78" s="371">
        <v>2.1</v>
      </c>
      <c r="S78" s="371">
        <v>2.1</v>
      </c>
      <c r="T78" s="371">
        <v>2.1</v>
      </c>
      <c r="U78" s="371">
        <v>2.1</v>
      </c>
      <c r="V78" s="371">
        <v>2.1</v>
      </c>
      <c r="W78" s="371">
        <v>2.1</v>
      </c>
      <c r="X78" s="371">
        <v>2.1</v>
      </c>
      <c r="Y78" s="381">
        <v>1000</v>
      </c>
    </row>
    <row r="79" spans="1:26" x14ac:dyDescent="0.2">
      <c r="A79" s="378" t="s">
        <v>34</v>
      </c>
      <c r="B79" s="372">
        <v>0</v>
      </c>
      <c r="C79" s="373">
        <v>11</v>
      </c>
      <c r="D79" s="373">
        <v>7</v>
      </c>
      <c r="E79" s="373">
        <v>4</v>
      </c>
      <c r="F79" s="373">
        <v>4.5999999999999996</v>
      </c>
      <c r="G79" s="373">
        <v>4.5999999999999996</v>
      </c>
      <c r="H79" s="373">
        <v>0</v>
      </c>
      <c r="I79" s="373">
        <v>0</v>
      </c>
      <c r="J79" s="373">
        <v>0</v>
      </c>
      <c r="K79" s="373">
        <v>0</v>
      </c>
      <c r="L79" s="373">
        <v>0</v>
      </c>
      <c r="M79" s="373">
        <v>0</v>
      </c>
      <c r="N79" s="373">
        <v>0</v>
      </c>
      <c r="O79" s="373">
        <v>0</v>
      </c>
      <c r="P79" s="373">
        <v>0</v>
      </c>
      <c r="Q79" s="373">
        <v>0</v>
      </c>
      <c r="R79" s="373">
        <v>0</v>
      </c>
      <c r="S79" s="373">
        <v>0</v>
      </c>
      <c r="T79" s="373">
        <v>0</v>
      </c>
      <c r="U79" s="373">
        <v>0</v>
      </c>
      <c r="V79" s="373">
        <v>0</v>
      </c>
      <c r="W79" s="373">
        <v>0</v>
      </c>
      <c r="X79" s="373">
        <v>0</v>
      </c>
      <c r="Y79" s="382">
        <v>0</v>
      </c>
    </row>
    <row r="80" spans="1:26" ht="13.5" thickBot="1" x14ac:dyDescent="0.25">
      <c r="A80" s="379" t="s">
        <v>116</v>
      </c>
      <c r="B80" s="374">
        <f t="shared" ref="B80:G80" si="12">(C79+B79)*(C78-B78)/2</f>
        <v>1.1000000000000001</v>
      </c>
      <c r="C80" s="375">
        <f t="shared" si="12"/>
        <v>0.8999999999999998</v>
      </c>
      <c r="D80" s="375">
        <f t="shared" si="12"/>
        <v>1.65</v>
      </c>
      <c r="E80" s="375">
        <f t="shared" si="12"/>
        <v>0.86000000000000021</v>
      </c>
      <c r="F80" s="375">
        <f t="shared" si="12"/>
        <v>5.52</v>
      </c>
      <c r="G80" s="375">
        <f t="shared" si="12"/>
        <v>0.23000000000000018</v>
      </c>
      <c r="H80" s="375">
        <f t="shared" ref="H80:V80" si="13">(I79+H79)*(I78-H78)/2</f>
        <v>0</v>
      </c>
      <c r="I80" s="375">
        <f t="shared" si="13"/>
        <v>0</v>
      </c>
      <c r="J80" s="375">
        <f>(K79+J79)*(K78-J78)/2</f>
        <v>0</v>
      </c>
      <c r="K80" s="375">
        <f t="shared" si="13"/>
        <v>0</v>
      </c>
      <c r="L80" s="375">
        <f t="shared" si="13"/>
        <v>0</v>
      </c>
      <c r="M80" s="375">
        <f t="shared" si="13"/>
        <v>0</v>
      </c>
      <c r="N80" s="375">
        <f t="shared" si="13"/>
        <v>0</v>
      </c>
      <c r="O80" s="375">
        <f t="shared" si="13"/>
        <v>0</v>
      </c>
      <c r="P80" s="375">
        <f t="shared" si="13"/>
        <v>0</v>
      </c>
      <c r="Q80" s="375">
        <f t="shared" si="13"/>
        <v>0</v>
      </c>
      <c r="R80" s="375">
        <f t="shared" si="13"/>
        <v>0</v>
      </c>
      <c r="S80" s="375">
        <f>(T79+S79)*(T78-S78)/2</f>
        <v>0</v>
      </c>
      <c r="T80" s="375">
        <f t="shared" si="13"/>
        <v>0</v>
      </c>
      <c r="U80" s="375">
        <f t="shared" si="13"/>
        <v>0</v>
      </c>
      <c r="V80" s="375">
        <f t="shared" si="13"/>
        <v>0</v>
      </c>
      <c r="W80" s="375">
        <f>(X79+W79)*(X78-W78)/2</f>
        <v>0</v>
      </c>
      <c r="X80" s="375">
        <f>(Y79+X79)*(Y78-X78)/2</f>
        <v>0</v>
      </c>
      <c r="Y80" s="369"/>
    </row>
    <row r="81" spans="1:26" ht="13.5" thickBot="1" x14ac:dyDescent="0.25">
      <c r="A81" s="12"/>
      <c r="L81" s="12"/>
      <c r="M81" s="12"/>
      <c r="N81" s="12"/>
      <c r="O81" s="12"/>
      <c r="P81" s="12"/>
      <c r="Q81" s="12"/>
      <c r="R81" s="12"/>
      <c r="S81" s="12"/>
      <c r="T81" s="12"/>
      <c r="U81" s="12"/>
      <c r="V81" s="12"/>
      <c r="W81" s="12"/>
      <c r="X81" s="12"/>
      <c r="Y81" s="12"/>
    </row>
    <row r="82" spans="1:26" ht="13.5" thickBot="1" x14ac:dyDescent="0.25">
      <c r="A82" s="361" t="s">
        <v>329</v>
      </c>
      <c r="B82" s="359">
        <f>ROW(A82)</f>
        <v>82</v>
      </c>
      <c r="C82" s="363" t="s">
        <v>115</v>
      </c>
      <c r="D82" s="353">
        <f>SUM(B85:Y85)</f>
        <v>20.52</v>
      </c>
      <c r="E82" s="363" t="s">
        <v>114</v>
      </c>
      <c r="F82" s="354">
        <f>D82/g/J82</f>
        <v>80.451658433309802</v>
      </c>
      <c r="G82" s="363" t="s">
        <v>56</v>
      </c>
      <c r="H82" s="64">
        <f>H77*2</f>
        <v>4.8000000000000001E-2</v>
      </c>
      <c r="I82" s="363" t="s">
        <v>271</v>
      </c>
      <c r="J82" s="355">
        <f>H82-L82</f>
        <v>2.6000000000000002E-2</v>
      </c>
      <c r="K82" s="363" t="s">
        <v>272</v>
      </c>
      <c r="L82" s="64">
        <f>L77*2</f>
        <v>2.1999999999999999E-2</v>
      </c>
      <c r="M82" s="363" t="s">
        <v>57</v>
      </c>
      <c r="N82" s="65">
        <v>30</v>
      </c>
      <c r="O82" s="363" t="s">
        <v>59</v>
      </c>
      <c r="P82" s="65">
        <v>30</v>
      </c>
      <c r="Q82" s="363" t="s">
        <v>60</v>
      </c>
      <c r="R82" s="65">
        <v>70</v>
      </c>
      <c r="S82" s="363" t="s">
        <v>61</v>
      </c>
      <c r="T82" s="65">
        <v>30</v>
      </c>
      <c r="U82" s="363" t="s">
        <v>54</v>
      </c>
      <c r="V82" s="66" t="s">
        <v>117</v>
      </c>
      <c r="W82" s="463" t="s">
        <v>394</v>
      </c>
      <c r="X82" s="465">
        <v>1.7</v>
      </c>
      <c r="Y82" s="463" t="s">
        <v>393</v>
      </c>
      <c r="Z82" s="358">
        <v>3</v>
      </c>
    </row>
    <row r="83" spans="1:26" x14ac:dyDescent="0.2">
      <c r="A83" s="362" t="s">
        <v>33</v>
      </c>
      <c r="B83" s="370">
        <v>0</v>
      </c>
      <c r="C83" s="371">
        <v>0.2</v>
      </c>
      <c r="D83" s="371">
        <v>0.3</v>
      </c>
      <c r="E83" s="371">
        <v>0.6</v>
      </c>
      <c r="F83" s="371">
        <v>0.8</v>
      </c>
      <c r="G83" s="371">
        <v>2</v>
      </c>
      <c r="H83" s="371">
        <v>2.1</v>
      </c>
      <c r="I83" s="371">
        <v>2.1</v>
      </c>
      <c r="J83" s="371">
        <v>2.1</v>
      </c>
      <c r="K83" s="371">
        <v>2.1</v>
      </c>
      <c r="L83" s="371">
        <v>2.1</v>
      </c>
      <c r="M83" s="371">
        <v>2.1</v>
      </c>
      <c r="N83" s="371">
        <v>2.1</v>
      </c>
      <c r="O83" s="371">
        <v>2.1</v>
      </c>
      <c r="P83" s="371">
        <v>2.1</v>
      </c>
      <c r="Q83" s="371">
        <v>2.1</v>
      </c>
      <c r="R83" s="371">
        <v>2.1</v>
      </c>
      <c r="S83" s="371">
        <v>2.1</v>
      </c>
      <c r="T83" s="371">
        <v>2.1</v>
      </c>
      <c r="U83" s="371">
        <v>2.1</v>
      </c>
      <c r="V83" s="371">
        <v>2.1</v>
      </c>
      <c r="W83" s="371">
        <v>2.1</v>
      </c>
      <c r="X83" s="371">
        <v>2.1</v>
      </c>
      <c r="Y83" s="381">
        <v>1000</v>
      </c>
    </row>
    <row r="84" spans="1:26" x14ac:dyDescent="0.2">
      <c r="A84" s="378" t="s">
        <v>34</v>
      </c>
      <c r="B84" s="372">
        <f>B79*2</f>
        <v>0</v>
      </c>
      <c r="C84" s="373">
        <f t="shared" ref="C84:X84" si="14">C79*2</f>
        <v>22</v>
      </c>
      <c r="D84" s="373">
        <f t="shared" si="14"/>
        <v>14</v>
      </c>
      <c r="E84" s="373">
        <f t="shared" si="14"/>
        <v>8</v>
      </c>
      <c r="F84" s="373">
        <f t="shared" si="14"/>
        <v>9.1999999999999993</v>
      </c>
      <c r="G84" s="373">
        <f t="shared" si="14"/>
        <v>9.1999999999999993</v>
      </c>
      <c r="H84" s="373">
        <f t="shared" si="14"/>
        <v>0</v>
      </c>
      <c r="I84" s="373">
        <f t="shared" si="14"/>
        <v>0</v>
      </c>
      <c r="J84" s="373">
        <f t="shared" si="14"/>
        <v>0</v>
      </c>
      <c r="K84" s="373">
        <f t="shared" si="14"/>
        <v>0</v>
      </c>
      <c r="L84" s="373">
        <f t="shared" si="14"/>
        <v>0</v>
      </c>
      <c r="M84" s="373">
        <f t="shared" si="14"/>
        <v>0</v>
      </c>
      <c r="N84" s="373">
        <f t="shared" si="14"/>
        <v>0</v>
      </c>
      <c r="O84" s="373">
        <f t="shared" si="14"/>
        <v>0</v>
      </c>
      <c r="P84" s="373">
        <f t="shared" si="14"/>
        <v>0</v>
      </c>
      <c r="Q84" s="373">
        <f t="shared" si="14"/>
        <v>0</v>
      </c>
      <c r="R84" s="373">
        <f t="shared" si="14"/>
        <v>0</v>
      </c>
      <c r="S84" s="373">
        <f t="shared" si="14"/>
        <v>0</v>
      </c>
      <c r="T84" s="373">
        <f t="shared" si="14"/>
        <v>0</v>
      </c>
      <c r="U84" s="373">
        <f t="shared" si="14"/>
        <v>0</v>
      </c>
      <c r="V84" s="373">
        <f t="shared" si="14"/>
        <v>0</v>
      </c>
      <c r="W84" s="373">
        <f t="shared" si="14"/>
        <v>0</v>
      </c>
      <c r="X84" s="373">
        <f t="shared" si="14"/>
        <v>0</v>
      </c>
      <c r="Y84" s="382">
        <v>0</v>
      </c>
    </row>
    <row r="85" spans="1:26" ht="13.5" thickBot="1" x14ac:dyDescent="0.25">
      <c r="A85" s="379" t="s">
        <v>116</v>
      </c>
      <c r="B85" s="374">
        <f t="shared" ref="B85:X85" si="15">(C84+B84)*(C83-B83)/2</f>
        <v>2.2000000000000002</v>
      </c>
      <c r="C85" s="375">
        <f t="shared" si="15"/>
        <v>1.7999999999999996</v>
      </c>
      <c r="D85" s="375">
        <f t="shared" si="15"/>
        <v>3.3</v>
      </c>
      <c r="E85" s="375">
        <f t="shared" si="15"/>
        <v>1.7200000000000004</v>
      </c>
      <c r="F85" s="375">
        <f t="shared" si="15"/>
        <v>11.04</v>
      </c>
      <c r="G85" s="375">
        <f t="shared" si="15"/>
        <v>0.46000000000000035</v>
      </c>
      <c r="H85" s="375">
        <f t="shared" si="15"/>
        <v>0</v>
      </c>
      <c r="I85" s="375">
        <f t="shared" si="15"/>
        <v>0</v>
      </c>
      <c r="J85" s="375">
        <f t="shared" si="15"/>
        <v>0</v>
      </c>
      <c r="K85" s="375">
        <f t="shared" si="15"/>
        <v>0</v>
      </c>
      <c r="L85" s="375">
        <f t="shared" si="15"/>
        <v>0</v>
      </c>
      <c r="M85" s="375">
        <f t="shared" si="15"/>
        <v>0</v>
      </c>
      <c r="N85" s="375">
        <f t="shared" si="15"/>
        <v>0</v>
      </c>
      <c r="O85" s="375">
        <f t="shared" si="15"/>
        <v>0</v>
      </c>
      <c r="P85" s="375">
        <f t="shared" si="15"/>
        <v>0</v>
      </c>
      <c r="Q85" s="375">
        <f t="shared" si="15"/>
        <v>0</v>
      </c>
      <c r="R85" s="375">
        <f t="shared" si="15"/>
        <v>0</v>
      </c>
      <c r="S85" s="375">
        <f t="shared" si="15"/>
        <v>0</v>
      </c>
      <c r="T85" s="375">
        <f t="shared" si="15"/>
        <v>0</v>
      </c>
      <c r="U85" s="375">
        <f t="shared" si="15"/>
        <v>0</v>
      </c>
      <c r="V85" s="375">
        <f t="shared" si="15"/>
        <v>0</v>
      </c>
      <c r="W85" s="375">
        <f t="shared" si="15"/>
        <v>0</v>
      </c>
      <c r="X85" s="375">
        <f t="shared" si="15"/>
        <v>0</v>
      </c>
      <c r="Y85" s="369"/>
    </row>
    <row r="86" spans="1:26" ht="13.5" thickBot="1" x14ac:dyDescent="0.25">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6" ht="13.5" thickBot="1" x14ac:dyDescent="0.25">
      <c r="A87" s="361" t="s">
        <v>330</v>
      </c>
      <c r="B87" s="359">
        <f>ROW(A87)</f>
        <v>87</v>
      </c>
      <c r="C87" s="363" t="s">
        <v>115</v>
      </c>
      <c r="D87" s="353">
        <f>SUM(B90:Y90)</f>
        <v>30.779999999999998</v>
      </c>
      <c r="E87" s="363" t="s">
        <v>114</v>
      </c>
      <c r="F87" s="354">
        <f>D87/g/J87</f>
        <v>80.451658433309774</v>
      </c>
      <c r="G87" s="363" t="s">
        <v>56</v>
      </c>
      <c r="H87" s="64">
        <f>H77*3</f>
        <v>7.2000000000000008E-2</v>
      </c>
      <c r="I87" s="363" t="s">
        <v>271</v>
      </c>
      <c r="J87" s="355">
        <f>H87-L87</f>
        <v>3.9000000000000007E-2</v>
      </c>
      <c r="K87" s="363" t="s">
        <v>272</v>
      </c>
      <c r="L87" s="64">
        <f>L77*3</f>
        <v>3.3000000000000002E-2</v>
      </c>
      <c r="M87" s="363" t="s">
        <v>57</v>
      </c>
      <c r="N87" s="65">
        <v>30</v>
      </c>
      <c r="O87" s="363" t="s">
        <v>59</v>
      </c>
      <c r="P87" s="65">
        <v>30</v>
      </c>
      <c r="Q87" s="363" t="s">
        <v>60</v>
      </c>
      <c r="R87" s="65">
        <v>70</v>
      </c>
      <c r="S87" s="363" t="s">
        <v>61</v>
      </c>
      <c r="T87" s="65">
        <v>40</v>
      </c>
      <c r="U87" s="363" t="s">
        <v>54</v>
      </c>
      <c r="V87" s="66" t="s">
        <v>117</v>
      </c>
      <c r="W87" s="463" t="s">
        <v>394</v>
      </c>
      <c r="X87" s="465">
        <v>1.7</v>
      </c>
      <c r="Y87" s="463" t="s">
        <v>393</v>
      </c>
      <c r="Z87" s="358">
        <v>3</v>
      </c>
    </row>
    <row r="88" spans="1:26" x14ac:dyDescent="0.2">
      <c r="A88" s="362" t="s">
        <v>33</v>
      </c>
      <c r="B88" s="370">
        <v>0</v>
      </c>
      <c r="C88" s="371">
        <v>0.2</v>
      </c>
      <c r="D88" s="371">
        <v>0.3</v>
      </c>
      <c r="E88" s="371">
        <v>0.6</v>
      </c>
      <c r="F88" s="371">
        <v>0.8</v>
      </c>
      <c r="G88" s="371">
        <v>2</v>
      </c>
      <c r="H88" s="371">
        <v>2.1</v>
      </c>
      <c r="I88" s="371">
        <v>2.1</v>
      </c>
      <c r="J88" s="371">
        <v>2.1</v>
      </c>
      <c r="K88" s="371">
        <v>2.1</v>
      </c>
      <c r="L88" s="371">
        <v>2.1</v>
      </c>
      <c r="M88" s="371">
        <v>2.1</v>
      </c>
      <c r="N88" s="371">
        <v>2.1</v>
      </c>
      <c r="O88" s="371">
        <v>2.1</v>
      </c>
      <c r="P88" s="371">
        <v>2.1</v>
      </c>
      <c r="Q88" s="371">
        <v>2.1</v>
      </c>
      <c r="R88" s="371">
        <v>2.1</v>
      </c>
      <c r="S88" s="371">
        <v>2.1</v>
      </c>
      <c r="T88" s="371">
        <v>2.1</v>
      </c>
      <c r="U88" s="371">
        <v>2.1</v>
      </c>
      <c r="V88" s="371">
        <v>2.1</v>
      </c>
      <c r="W88" s="371">
        <v>2.1</v>
      </c>
      <c r="X88" s="371">
        <v>2.1</v>
      </c>
      <c r="Y88" s="381">
        <v>1000</v>
      </c>
    </row>
    <row r="89" spans="1:26" x14ac:dyDescent="0.2">
      <c r="A89" s="378" t="s">
        <v>34</v>
      </c>
      <c r="B89" s="372">
        <f>B79*3</f>
        <v>0</v>
      </c>
      <c r="C89" s="373">
        <f t="shared" ref="C89:X89" si="16">C79*3</f>
        <v>33</v>
      </c>
      <c r="D89" s="373">
        <f t="shared" si="16"/>
        <v>21</v>
      </c>
      <c r="E89" s="373">
        <f t="shared" si="16"/>
        <v>12</v>
      </c>
      <c r="F89" s="373">
        <f t="shared" si="16"/>
        <v>13.799999999999999</v>
      </c>
      <c r="G89" s="373">
        <f t="shared" si="16"/>
        <v>13.799999999999999</v>
      </c>
      <c r="H89" s="373">
        <f t="shared" si="16"/>
        <v>0</v>
      </c>
      <c r="I89" s="373">
        <f t="shared" si="16"/>
        <v>0</v>
      </c>
      <c r="J89" s="373">
        <f t="shared" si="16"/>
        <v>0</v>
      </c>
      <c r="K89" s="373">
        <f t="shared" si="16"/>
        <v>0</v>
      </c>
      <c r="L89" s="373">
        <f t="shared" si="16"/>
        <v>0</v>
      </c>
      <c r="M89" s="373">
        <f t="shared" si="16"/>
        <v>0</v>
      </c>
      <c r="N89" s="373">
        <f t="shared" si="16"/>
        <v>0</v>
      </c>
      <c r="O89" s="373">
        <f t="shared" si="16"/>
        <v>0</v>
      </c>
      <c r="P89" s="373">
        <f t="shared" si="16"/>
        <v>0</v>
      </c>
      <c r="Q89" s="373">
        <f t="shared" si="16"/>
        <v>0</v>
      </c>
      <c r="R89" s="373">
        <f t="shared" si="16"/>
        <v>0</v>
      </c>
      <c r="S89" s="373">
        <f t="shared" si="16"/>
        <v>0</v>
      </c>
      <c r="T89" s="373">
        <f t="shared" si="16"/>
        <v>0</v>
      </c>
      <c r="U89" s="373">
        <f t="shared" si="16"/>
        <v>0</v>
      </c>
      <c r="V89" s="373">
        <f t="shared" si="16"/>
        <v>0</v>
      </c>
      <c r="W89" s="373">
        <f t="shared" si="16"/>
        <v>0</v>
      </c>
      <c r="X89" s="373">
        <f t="shared" si="16"/>
        <v>0</v>
      </c>
      <c r="Y89" s="382">
        <v>0</v>
      </c>
    </row>
    <row r="90" spans="1:26" ht="13.5" thickBot="1" x14ac:dyDescent="0.25">
      <c r="A90" s="379" t="s">
        <v>116</v>
      </c>
      <c r="B90" s="374">
        <f t="shared" ref="B90:X90" si="17">(C89+B89)*(C88-B88)/2</f>
        <v>3.3000000000000003</v>
      </c>
      <c r="C90" s="375">
        <f t="shared" si="17"/>
        <v>2.6999999999999993</v>
      </c>
      <c r="D90" s="375">
        <f t="shared" si="17"/>
        <v>4.95</v>
      </c>
      <c r="E90" s="375">
        <f t="shared" si="17"/>
        <v>2.5800000000000005</v>
      </c>
      <c r="F90" s="375">
        <f t="shared" si="17"/>
        <v>16.559999999999999</v>
      </c>
      <c r="G90" s="375">
        <f t="shared" si="17"/>
        <v>0.69000000000000061</v>
      </c>
      <c r="H90" s="375">
        <f t="shared" si="17"/>
        <v>0</v>
      </c>
      <c r="I90" s="375">
        <f t="shared" si="17"/>
        <v>0</v>
      </c>
      <c r="J90" s="375">
        <f t="shared" si="17"/>
        <v>0</v>
      </c>
      <c r="K90" s="375">
        <f t="shared" si="17"/>
        <v>0</v>
      </c>
      <c r="L90" s="375">
        <f t="shared" si="17"/>
        <v>0</v>
      </c>
      <c r="M90" s="375">
        <f t="shared" si="17"/>
        <v>0</v>
      </c>
      <c r="N90" s="375">
        <f t="shared" si="17"/>
        <v>0</v>
      </c>
      <c r="O90" s="375">
        <f t="shared" si="17"/>
        <v>0</v>
      </c>
      <c r="P90" s="375">
        <f t="shared" si="17"/>
        <v>0</v>
      </c>
      <c r="Q90" s="375">
        <f t="shared" si="17"/>
        <v>0</v>
      </c>
      <c r="R90" s="375">
        <f t="shared" si="17"/>
        <v>0</v>
      </c>
      <c r="S90" s="375">
        <f t="shared" si="17"/>
        <v>0</v>
      </c>
      <c r="T90" s="375">
        <f t="shared" si="17"/>
        <v>0</v>
      </c>
      <c r="U90" s="375">
        <f t="shared" si="17"/>
        <v>0</v>
      </c>
      <c r="V90" s="375">
        <f t="shared" si="17"/>
        <v>0</v>
      </c>
      <c r="W90" s="375">
        <f t="shared" si="17"/>
        <v>0</v>
      </c>
      <c r="X90" s="375">
        <f t="shared" si="17"/>
        <v>0</v>
      </c>
      <c r="Y90" s="369"/>
    </row>
    <row r="91" spans="1:26" ht="13.5" thickBot="1" x14ac:dyDescent="0.25">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6" ht="13.5" thickBot="1" x14ac:dyDescent="0.25">
      <c r="A92" s="361" t="s">
        <v>541</v>
      </c>
      <c r="B92" s="359">
        <f>ROW(A92)</f>
        <v>92</v>
      </c>
      <c r="C92" s="363" t="s">
        <v>115</v>
      </c>
      <c r="D92" s="353">
        <f>SUM(B95:Y95)</f>
        <v>19.961989000000003</v>
      </c>
      <c r="E92" s="363" t="s">
        <v>114</v>
      </c>
      <c r="F92" s="354">
        <f>D92/g/J92</f>
        <v>118.30588744280873</v>
      </c>
      <c r="G92" s="363" t="s">
        <v>56</v>
      </c>
      <c r="H92" s="64">
        <v>2.8199999999999999E-2</v>
      </c>
      <c r="I92" s="363" t="s">
        <v>271</v>
      </c>
      <c r="J92" s="355">
        <f>H92-L92</f>
        <v>1.72E-2</v>
      </c>
      <c r="K92" s="363" t="s">
        <v>272</v>
      </c>
      <c r="L92" s="64">
        <v>1.0999999999999999E-2</v>
      </c>
      <c r="M92" s="363" t="s">
        <v>57</v>
      </c>
      <c r="N92" s="65">
        <v>30</v>
      </c>
      <c r="O92" s="363" t="s">
        <v>59</v>
      </c>
      <c r="P92" s="65">
        <v>30</v>
      </c>
      <c r="Q92" s="363" t="s">
        <v>60</v>
      </c>
      <c r="R92" s="65">
        <v>70</v>
      </c>
      <c r="S92" s="363" t="s">
        <v>61</v>
      </c>
      <c r="T92" s="65">
        <v>18</v>
      </c>
      <c r="U92" s="363" t="s">
        <v>54</v>
      </c>
      <c r="V92" s="66" t="s">
        <v>401</v>
      </c>
      <c r="W92" s="463" t="s">
        <v>394</v>
      </c>
      <c r="X92" s="465">
        <v>2.1</v>
      </c>
      <c r="Y92" s="463" t="s">
        <v>393</v>
      </c>
      <c r="Z92" s="358">
        <v>7</v>
      </c>
    </row>
    <row r="93" spans="1:26" x14ac:dyDescent="0.2">
      <c r="A93" s="362" t="s">
        <v>33</v>
      </c>
      <c r="B93" s="370">
        <v>0</v>
      </c>
      <c r="C93" s="471">
        <v>0.04</v>
      </c>
      <c r="D93" s="471">
        <v>0.11600000000000001</v>
      </c>
      <c r="E93" s="471">
        <v>0.21299999999999999</v>
      </c>
      <c r="F93" s="471">
        <v>0.28599999999999998</v>
      </c>
      <c r="G93" s="471">
        <v>0.32900000000000001</v>
      </c>
      <c r="H93" s="471">
        <v>0.36899999999999999</v>
      </c>
      <c r="I93" s="471">
        <v>0.42</v>
      </c>
      <c r="J93" s="471">
        <v>0.495</v>
      </c>
      <c r="K93" s="471">
        <v>0.59699999999999998</v>
      </c>
      <c r="L93" s="471">
        <v>1.7110000000000001</v>
      </c>
      <c r="M93" s="471">
        <v>1.8260000000000001</v>
      </c>
      <c r="N93" s="471">
        <v>1.917</v>
      </c>
      <c r="O93" s="471">
        <v>1.9750000000000001</v>
      </c>
      <c r="P93" s="471">
        <v>2.206</v>
      </c>
      <c r="Q93" s="471">
        <v>2.242</v>
      </c>
      <c r="R93" s="371">
        <v>2.5</v>
      </c>
      <c r="S93" s="371">
        <v>2.5</v>
      </c>
      <c r="T93" s="371">
        <v>2.5</v>
      </c>
      <c r="U93" s="371">
        <v>2.5</v>
      </c>
      <c r="V93" s="371">
        <v>2.5</v>
      </c>
      <c r="W93" s="371">
        <v>2.5</v>
      </c>
      <c r="X93" s="371">
        <v>2.5</v>
      </c>
      <c r="Y93" s="381">
        <v>1000</v>
      </c>
    </row>
    <row r="94" spans="1:26" x14ac:dyDescent="0.2">
      <c r="A94" s="378" t="s">
        <v>34</v>
      </c>
      <c r="B94" s="372">
        <v>0</v>
      </c>
      <c r="C94" s="471">
        <v>2.1110000000000002</v>
      </c>
      <c r="D94" s="471">
        <v>9.6850000000000005</v>
      </c>
      <c r="E94" s="471">
        <v>25</v>
      </c>
      <c r="F94" s="471">
        <v>15.738</v>
      </c>
      <c r="G94" s="471">
        <v>12.472</v>
      </c>
      <c r="H94" s="471">
        <v>10.67</v>
      </c>
      <c r="I94" s="471">
        <v>9.7129999999999992</v>
      </c>
      <c r="J94" s="471">
        <v>9.1780000000000008</v>
      </c>
      <c r="K94" s="471">
        <v>8.8960000000000008</v>
      </c>
      <c r="L94" s="471">
        <v>8.9250000000000007</v>
      </c>
      <c r="M94" s="471">
        <v>8.6989999999999998</v>
      </c>
      <c r="N94" s="471">
        <v>8.0519999999999996</v>
      </c>
      <c r="O94" s="471">
        <v>6.9539999999999997</v>
      </c>
      <c r="P94" s="471">
        <v>1.07</v>
      </c>
      <c r="Q94" s="471">
        <v>0</v>
      </c>
      <c r="R94" s="373">
        <v>0</v>
      </c>
      <c r="S94" s="373">
        <v>0</v>
      </c>
      <c r="T94" s="373">
        <v>0</v>
      </c>
      <c r="U94" s="373">
        <v>0</v>
      </c>
      <c r="V94" s="373">
        <v>0</v>
      </c>
      <c r="W94" s="373">
        <v>0</v>
      </c>
      <c r="X94" s="373">
        <v>0</v>
      </c>
      <c r="Y94" s="382">
        <v>0</v>
      </c>
    </row>
    <row r="95" spans="1:26" ht="13.5" thickBot="1" x14ac:dyDescent="0.25">
      <c r="A95" s="379" t="s">
        <v>116</v>
      </c>
      <c r="B95" s="374">
        <f t="shared" ref="B95:X95" si="18">(C94+B94)*(C93-B93)/2</f>
        <v>4.2220000000000008E-2</v>
      </c>
      <c r="C95" s="375">
        <f t="shared" si="18"/>
        <v>0.44824800000000009</v>
      </c>
      <c r="D95" s="375">
        <f t="shared" si="18"/>
        <v>1.6822225</v>
      </c>
      <c r="E95" s="375">
        <f t="shared" si="18"/>
        <v>1.4869369999999995</v>
      </c>
      <c r="F95" s="375">
        <f t="shared" si="18"/>
        <v>0.60651500000000058</v>
      </c>
      <c r="G95" s="375">
        <f t="shared" si="18"/>
        <v>0.46283999999999975</v>
      </c>
      <c r="H95" s="375">
        <f t="shared" si="18"/>
        <v>0.51976649999999991</v>
      </c>
      <c r="I95" s="375">
        <f t="shared" si="18"/>
        <v>0.7084125</v>
      </c>
      <c r="J95" s="375">
        <f t="shared" si="18"/>
        <v>0.92177399999999987</v>
      </c>
      <c r="K95" s="375">
        <f t="shared" si="18"/>
        <v>9.9262970000000017</v>
      </c>
      <c r="L95" s="375">
        <f t="shared" si="18"/>
        <v>1.0133799999999999</v>
      </c>
      <c r="M95" s="375">
        <f t="shared" si="18"/>
        <v>0.76217049999999964</v>
      </c>
      <c r="N95" s="375">
        <f t="shared" si="18"/>
        <v>0.43517400000000039</v>
      </c>
      <c r="O95" s="375">
        <f t="shared" si="18"/>
        <v>0.92677199999999937</v>
      </c>
      <c r="P95" s="375">
        <f t="shared" si="18"/>
        <v>1.9260000000000017E-2</v>
      </c>
      <c r="Q95" s="375">
        <f t="shared" si="18"/>
        <v>0</v>
      </c>
      <c r="R95" s="375">
        <f t="shared" si="18"/>
        <v>0</v>
      </c>
      <c r="S95" s="375">
        <f t="shared" si="18"/>
        <v>0</v>
      </c>
      <c r="T95" s="375">
        <f t="shared" si="18"/>
        <v>0</v>
      </c>
      <c r="U95" s="375">
        <f t="shared" si="18"/>
        <v>0</v>
      </c>
      <c r="V95" s="375">
        <f t="shared" si="18"/>
        <v>0</v>
      </c>
      <c r="W95" s="375">
        <f t="shared" si="18"/>
        <v>0</v>
      </c>
      <c r="X95" s="375">
        <f t="shared" si="18"/>
        <v>0</v>
      </c>
      <c r="Y95" s="369"/>
    </row>
    <row r="96" spans="1:26" ht="13.5" thickBot="1" x14ac:dyDescent="0.25">
      <c r="A96" s="12"/>
      <c r="L96" s="12"/>
      <c r="M96" s="12"/>
      <c r="N96" s="12"/>
      <c r="O96" s="12"/>
      <c r="P96" s="12"/>
      <c r="Q96" s="12"/>
      <c r="R96" s="12"/>
      <c r="S96" s="12"/>
      <c r="T96" s="12"/>
      <c r="U96" s="12"/>
      <c r="V96" s="12"/>
      <c r="W96" s="12"/>
      <c r="X96" s="12"/>
      <c r="Y96" s="12"/>
    </row>
    <row r="97" spans="1:26" ht="13.5" thickBot="1" x14ac:dyDescent="0.25">
      <c r="A97" s="361" t="s">
        <v>539</v>
      </c>
      <c r="B97" s="359">
        <f>ROW(A97)</f>
        <v>97</v>
      </c>
      <c r="C97" s="363" t="s">
        <v>115</v>
      </c>
      <c r="D97" s="353">
        <f>SUM(B100:Y100)</f>
        <v>39.923978000000005</v>
      </c>
      <c r="E97" s="363" t="s">
        <v>114</v>
      </c>
      <c r="F97" s="354">
        <f>D97/g/J97</f>
        <v>118.30588744280873</v>
      </c>
      <c r="G97" s="363" t="s">
        <v>56</v>
      </c>
      <c r="H97" s="64">
        <f>H92*2</f>
        <v>5.6399999999999999E-2</v>
      </c>
      <c r="I97" s="363" t="s">
        <v>271</v>
      </c>
      <c r="J97" s="355">
        <f>H97-L97</f>
        <v>3.44E-2</v>
      </c>
      <c r="K97" s="363" t="s">
        <v>272</v>
      </c>
      <c r="L97" s="64">
        <f>L92*2</f>
        <v>2.1999999999999999E-2</v>
      </c>
      <c r="M97" s="363" t="s">
        <v>57</v>
      </c>
      <c r="N97" s="65">
        <v>30</v>
      </c>
      <c r="O97" s="363" t="s">
        <v>59</v>
      </c>
      <c r="P97" s="65">
        <v>30</v>
      </c>
      <c r="Q97" s="363" t="s">
        <v>60</v>
      </c>
      <c r="R97" s="65">
        <v>70</v>
      </c>
      <c r="S97" s="363" t="s">
        <v>61</v>
      </c>
      <c r="T97" s="65">
        <v>30</v>
      </c>
      <c r="U97" s="363" t="s">
        <v>54</v>
      </c>
      <c r="V97" s="66" t="s">
        <v>401</v>
      </c>
      <c r="W97" s="463" t="s">
        <v>394</v>
      </c>
      <c r="X97" s="465">
        <v>2.1</v>
      </c>
      <c r="Y97" s="463" t="s">
        <v>393</v>
      </c>
      <c r="Z97" s="358">
        <v>7</v>
      </c>
    </row>
    <row r="98" spans="1:26" x14ac:dyDescent="0.2">
      <c r="A98" s="362" t="s">
        <v>33</v>
      </c>
      <c r="B98" s="370">
        <v>0</v>
      </c>
      <c r="C98" s="371">
        <f>C93</f>
        <v>0.04</v>
      </c>
      <c r="D98" s="371">
        <f t="shared" ref="D98:X98" si="19">D93</f>
        <v>0.11600000000000001</v>
      </c>
      <c r="E98" s="371">
        <f t="shared" si="19"/>
        <v>0.21299999999999999</v>
      </c>
      <c r="F98" s="371">
        <f t="shared" si="19"/>
        <v>0.28599999999999998</v>
      </c>
      <c r="G98" s="371">
        <f t="shared" si="19"/>
        <v>0.32900000000000001</v>
      </c>
      <c r="H98" s="371">
        <f t="shared" si="19"/>
        <v>0.36899999999999999</v>
      </c>
      <c r="I98" s="371">
        <f t="shared" si="19"/>
        <v>0.42</v>
      </c>
      <c r="J98" s="371">
        <f t="shared" si="19"/>
        <v>0.495</v>
      </c>
      <c r="K98" s="371">
        <f t="shared" si="19"/>
        <v>0.59699999999999998</v>
      </c>
      <c r="L98" s="371">
        <f t="shared" si="19"/>
        <v>1.7110000000000001</v>
      </c>
      <c r="M98" s="371">
        <f t="shared" si="19"/>
        <v>1.8260000000000001</v>
      </c>
      <c r="N98" s="371">
        <f t="shared" si="19"/>
        <v>1.917</v>
      </c>
      <c r="O98" s="371">
        <f t="shared" si="19"/>
        <v>1.9750000000000001</v>
      </c>
      <c r="P98" s="371">
        <f t="shared" si="19"/>
        <v>2.206</v>
      </c>
      <c r="Q98" s="371">
        <f t="shared" si="19"/>
        <v>2.242</v>
      </c>
      <c r="R98" s="371">
        <f t="shared" si="19"/>
        <v>2.5</v>
      </c>
      <c r="S98" s="371">
        <f>S93</f>
        <v>2.5</v>
      </c>
      <c r="T98" s="371">
        <f t="shared" si="19"/>
        <v>2.5</v>
      </c>
      <c r="U98" s="371">
        <f t="shared" si="19"/>
        <v>2.5</v>
      </c>
      <c r="V98" s="371">
        <f t="shared" si="19"/>
        <v>2.5</v>
      </c>
      <c r="W98" s="371">
        <f t="shared" si="19"/>
        <v>2.5</v>
      </c>
      <c r="X98" s="371">
        <f t="shared" si="19"/>
        <v>2.5</v>
      </c>
      <c r="Y98" s="381">
        <v>1000</v>
      </c>
    </row>
    <row r="99" spans="1:26" x14ac:dyDescent="0.2">
      <c r="A99" s="378" t="s">
        <v>34</v>
      </c>
      <c r="B99" s="372">
        <f>B94*2</f>
        <v>0</v>
      </c>
      <c r="C99" s="373">
        <f t="shared" ref="C99:X99" si="20">C94*2</f>
        <v>4.2220000000000004</v>
      </c>
      <c r="D99" s="373">
        <f t="shared" si="20"/>
        <v>19.37</v>
      </c>
      <c r="E99" s="373">
        <f t="shared" si="20"/>
        <v>50</v>
      </c>
      <c r="F99" s="373">
        <f t="shared" si="20"/>
        <v>31.475999999999999</v>
      </c>
      <c r="G99" s="373">
        <f t="shared" si="20"/>
        <v>24.943999999999999</v>
      </c>
      <c r="H99" s="373">
        <f t="shared" si="20"/>
        <v>21.34</v>
      </c>
      <c r="I99" s="373">
        <f t="shared" si="20"/>
        <v>19.425999999999998</v>
      </c>
      <c r="J99" s="373">
        <f t="shared" si="20"/>
        <v>18.356000000000002</v>
      </c>
      <c r="K99" s="373">
        <f t="shared" si="20"/>
        <v>17.792000000000002</v>
      </c>
      <c r="L99" s="373">
        <f t="shared" si="20"/>
        <v>17.850000000000001</v>
      </c>
      <c r="M99" s="373">
        <f t="shared" si="20"/>
        <v>17.398</v>
      </c>
      <c r="N99" s="373">
        <f t="shared" si="20"/>
        <v>16.103999999999999</v>
      </c>
      <c r="O99" s="373">
        <f t="shared" si="20"/>
        <v>13.907999999999999</v>
      </c>
      <c r="P99" s="373">
        <f t="shared" si="20"/>
        <v>2.14</v>
      </c>
      <c r="Q99" s="373">
        <f t="shared" si="20"/>
        <v>0</v>
      </c>
      <c r="R99" s="373">
        <f t="shared" si="20"/>
        <v>0</v>
      </c>
      <c r="S99" s="373">
        <f t="shared" si="20"/>
        <v>0</v>
      </c>
      <c r="T99" s="373">
        <f t="shared" si="20"/>
        <v>0</v>
      </c>
      <c r="U99" s="373">
        <f t="shared" si="20"/>
        <v>0</v>
      </c>
      <c r="V99" s="373">
        <f t="shared" si="20"/>
        <v>0</v>
      </c>
      <c r="W99" s="373">
        <f t="shared" si="20"/>
        <v>0</v>
      </c>
      <c r="X99" s="373">
        <f t="shared" si="20"/>
        <v>0</v>
      </c>
      <c r="Y99" s="382">
        <v>0</v>
      </c>
    </row>
    <row r="100" spans="1:26" ht="13.5" thickBot="1" x14ac:dyDescent="0.25">
      <c r="A100" s="379" t="s">
        <v>116</v>
      </c>
      <c r="B100" s="374">
        <f t="shared" ref="B100:X100" si="21">(C99+B99)*(C98-B98)/2</f>
        <v>8.4440000000000015E-2</v>
      </c>
      <c r="C100" s="375">
        <f t="shared" si="21"/>
        <v>0.89649600000000018</v>
      </c>
      <c r="D100" s="375">
        <f t="shared" si="21"/>
        <v>3.3644449999999999</v>
      </c>
      <c r="E100" s="375">
        <f t="shared" si="21"/>
        <v>2.973873999999999</v>
      </c>
      <c r="F100" s="375">
        <f t="shared" si="21"/>
        <v>1.2130300000000012</v>
      </c>
      <c r="G100" s="375">
        <f t="shared" si="21"/>
        <v>0.9256799999999995</v>
      </c>
      <c r="H100" s="375">
        <f t="shared" si="21"/>
        <v>1.0395329999999998</v>
      </c>
      <c r="I100" s="375">
        <f t="shared" si="21"/>
        <v>1.416825</v>
      </c>
      <c r="J100" s="375">
        <f t="shared" si="21"/>
        <v>1.8435479999999997</v>
      </c>
      <c r="K100" s="375">
        <f t="shared" si="21"/>
        <v>19.852594000000003</v>
      </c>
      <c r="L100" s="375">
        <f t="shared" si="21"/>
        <v>2.0267599999999999</v>
      </c>
      <c r="M100" s="375">
        <f t="shared" si="21"/>
        <v>1.5243409999999993</v>
      </c>
      <c r="N100" s="375">
        <f t="shared" si="21"/>
        <v>0.87034800000000079</v>
      </c>
      <c r="O100" s="375">
        <f t="shared" si="21"/>
        <v>1.8535439999999987</v>
      </c>
      <c r="P100" s="375">
        <f t="shared" si="21"/>
        <v>3.8520000000000033E-2</v>
      </c>
      <c r="Q100" s="375">
        <f t="shared" si="21"/>
        <v>0</v>
      </c>
      <c r="R100" s="375">
        <f t="shared" si="21"/>
        <v>0</v>
      </c>
      <c r="S100" s="375">
        <f t="shared" si="21"/>
        <v>0</v>
      </c>
      <c r="T100" s="375">
        <f t="shared" si="21"/>
        <v>0</v>
      </c>
      <c r="U100" s="375">
        <f t="shared" si="21"/>
        <v>0</v>
      </c>
      <c r="V100" s="375">
        <f t="shared" si="21"/>
        <v>0</v>
      </c>
      <c r="W100" s="375">
        <f t="shared" si="21"/>
        <v>0</v>
      </c>
      <c r="X100" s="375">
        <f t="shared" si="21"/>
        <v>0</v>
      </c>
      <c r="Y100" s="369"/>
    </row>
    <row r="101" spans="1:26" ht="13.5" thickBot="1" x14ac:dyDescent="0.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6" ht="13.5" thickBot="1" x14ac:dyDescent="0.25">
      <c r="A102" s="361" t="s">
        <v>540</v>
      </c>
      <c r="B102" s="359">
        <f>ROW(A102)</f>
        <v>102</v>
      </c>
      <c r="C102" s="363" t="s">
        <v>115</v>
      </c>
      <c r="D102" s="353">
        <f>SUM(B105:Y105)</f>
        <v>59.885967000000008</v>
      </c>
      <c r="E102" s="363" t="s">
        <v>114</v>
      </c>
      <c r="F102" s="354">
        <f>D102/g/J102</f>
        <v>118.30588744280874</v>
      </c>
      <c r="G102" s="363" t="s">
        <v>56</v>
      </c>
      <c r="H102" s="64">
        <f>H92*3</f>
        <v>8.4599999999999995E-2</v>
      </c>
      <c r="I102" s="363" t="s">
        <v>271</v>
      </c>
      <c r="J102" s="355">
        <f>H102-L102</f>
        <v>5.1599999999999993E-2</v>
      </c>
      <c r="K102" s="363" t="s">
        <v>272</v>
      </c>
      <c r="L102" s="64">
        <f>L92*3</f>
        <v>3.3000000000000002E-2</v>
      </c>
      <c r="M102" s="363" t="s">
        <v>57</v>
      </c>
      <c r="N102" s="65">
        <v>30</v>
      </c>
      <c r="O102" s="363" t="s">
        <v>59</v>
      </c>
      <c r="P102" s="65">
        <v>30</v>
      </c>
      <c r="Q102" s="363" t="s">
        <v>60</v>
      </c>
      <c r="R102" s="65">
        <v>70</v>
      </c>
      <c r="S102" s="363" t="s">
        <v>61</v>
      </c>
      <c r="T102" s="65">
        <v>40</v>
      </c>
      <c r="U102" s="363" t="s">
        <v>54</v>
      </c>
      <c r="V102" s="66" t="s">
        <v>401</v>
      </c>
      <c r="W102" s="463" t="s">
        <v>394</v>
      </c>
      <c r="X102" s="465">
        <v>2.1</v>
      </c>
      <c r="Y102" s="463" t="s">
        <v>393</v>
      </c>
      <c r="Z102" s="358">
        <v>7</v>
      </c>
    </row>
    <row r="103" spans="1:26" x14ac:dyDescent="0.2">
      <c r="A103" s="362" t="s">
        <v>33</v>
      </c>
      <c r="B103" s="370">
        <v>0</v>
      </c>
      <c r="C103" s="371">
        <f>C93</f>
        <v>0.04</v>
      </c>
      <c r="D103" s="371">
        <f t="shared" ref="D103:X103" si="22">D93</f>
        <v>0.11600000000000001</v>
      </c>
      <c r="E103" s="371">
        <f t="shared" si="22"/>
        <v>0.21299999999999999</v>
      </c>
      <c r="F103" s="371">
        <f t="shared" si="22"/>
        <v>0.28599999999999998</v>
      </c>
      <c r="G103" s="371">
        <f t="shared" si="22"/>
        <v>0.32900000000000001</v>
      </c>
      <c r="H103" s="371">
        <f t="shared" si="22"/>
        <v>0.36899999999999999</v>
      </c>
      <c r="I103" s="371">
        <f t="shared" si="22"/>
        <v>0.42</v>
      </c>
      <c r="J103" s="371">
        <f t="shared" si="22"/>
        <v>0.495</v>
      </c>
      <c r="K103" s="371">
        <f t="shared" si="22"/>
        <v>0.59699999999999998</v>
      </c>
      <c r="L103" s="371">
        <f t="shared" si="22"/>
        <v>1.7110000000000001</v>
      </c>
      <c r="M103" s="371">
        <f t="shared" si="22"/>
        <v>1.8260000000000001</v>
      </c>
      <c r="N103" s="371">
        <f t="shared" si="22"/>
        <v>1.917</v>
      </c>
      <c r="O103" s="371">
        <f t="shared" si="22"/>
        <v>1.9750000000000001</v>
      </c>
      <c r="P103" s="371">
        <f t="shared" si="22"/>
        <v>2.206</v>
      </c>
      <c r="Q103" s="371">
        <f t="shared" si="22"/>
        <v>2.242</v>
      </c>
      <c r="R103" s="371">
        <f t="shared" si="22"/>
        <v>2.5</v>
      </c>
      <c r="S103" s="371">
        <f t="shared" si="22"/>
        <v>2.5</v>
      </c>
      <c r="T103" s="371">
        <f t="shared" si="22"/>
        <v>2.5</v>
      </c>
      <c r="U103" s="371">
        <f t="shared" si="22"/>
        <v>2.5</v>
      </c>
      <c r="V103" s="371">
        <f t="shared" si="22"/>
        <v>2.5</v>
      </c>
      <c r="W103" s="371">
        <f t="shared" si="22"/>
        <v>2.5</v>
      </c>
      <c r="X103" s="371">
        <f t="shared" si="22"/>
        <v>2.5</v>
      </c>
      <c r="Y103" s="381">
        <v>1000</v>
      </c>
    </row>
    <row r="104" spans="1:26" x14ac:dyDescent="0.2">
      <c r="A104" s="378" t="s">
        <v>34</v>
      </c>
      <c r="B104" s="372">
        <f>B94*3</f>
        <v>0</v>
      </c>
      <c r="C104" s="373">
        <f t="shared" ref="C104:X104" si="23">C94*3</f>
        <v>6.3330000000000002</v>
      </c>
      <c r="D104" s="373">
        <f t="shared" si="23"/>
        <v>29.055</v>
      </c>
      <c r="E104" s="373">
        <f t="shared" si="23"/>
        <v>75</v>
      </c>
      <c r="F104" s="373">
        <f t="shared" si="23"/>
        <v>47.213999999999999</v>
      </c>
      <c r="G104" s="373">
        <f t="shared" si="23"/>
        <v>37.415999999999997</v>
      </c>
      <c r="H104" s="373">
        <f t="shared" si="23"/>
        <v>32.01</v>
      </c>
      <c r="I104" s="373">
        <f t="shared" si="23"/>
        <v>29.138999999999996</v>
      </c>
      <c r="J104" s="373">
        <f t="shared" si="23"/>
        <v>27.534000000000002</v>
      </c>
      <c r="K104" s="373">
        <f t="shared" si="23"/>
        <v>26.688000000000002</v>
      </c>
      <c r="L104" s="373">
        <f t="shared" si="23"/>
        <v>26.775000000000002</v>
      </c>
      <c r="M104" s="373">
        <f t="shared" si="23"/>
        <v>26.097000000000001</v>
      </c>
      <c r="N104" s="373">
        <f t="shared" si="23"/>
        <v>24.155999999999999</v>
      </c>
      <c r="O104" s="373">
        <f t="shared" si="23"/>
        <v>20.861999999999998</v>
      </c>
      <c r="P104" s="373">
        <f t="shared" si="23"/>
        <v>3.21</v>
      </c>
      <c r="Q104" s="373">
        <f t="shared" si="23"/>
        <v>0</v>
      </c>
      <c r="R104" s="373">
        <f t="shared" si="23"/>
        <v>0</v>
      </c>
      <c r="S104" s="373">
        <f t="shared" si="23"/>
        <v>0</v>
      </c>
      <c r="T104" s="373">
        <f t="shared" si="23"/>
        <v>0</v>
      </c>
      <c r="U104" s="373">
        <f t="shared" si="23"/>
        <v>0</v>
      </c>
      <c r="V104" s="373">
        <f t="shared" si="23"/>
        <v>0</v>
      </c>
      <c r="W104" s="373">
        <f t="shared" si="23"/>
        <v>0</v>
      </c>
      <c r="X104" s="373">
        <f t="shared" si="23"/>
        <v>0</v>
      </c>
      <c r="Y104" s="382">
        <v>0</v>
      </c>
    </row>
    <row r="105" spans="1:26" ht="13.5" thickBot="1" x14ac:dyDescent="0.25">
      <c r="A105" s="379" t="s">
        <v>116</v>
      </c>
      <c r="B105" s="374">
        <f t="shared" ref="B105:X105" si="24">(C104+B104)*(C103-B103)/2</f>
        <v>0.12665999999999999</v>
      </c>
      <c r="C105" s="375">
        <f t="shared" si="24"/>
        <v>1.3447440000000002</v>
      </c>
      <c r="D105" s="375">
        <f t="shared" si="24"/>
        <v>5.0466674999999999</v>
      </c>
      <c r="E105" s="375">
        <f t="shared" si="24"/>
        <v>4.4608109999999987</v>
      </c>
      <c r="F105" s="375">
        <f t="shared" si="24"/>
        <v>1.8195450000000015</v>
      </c>
      <c r="G105" s="375">
        <f t="shared" si="24"/>
        <v>1.3885199999999991</v>
      </c>
      <c r="H105" s="375">
        <f t="shared" si="24"/>
        <v>1.5592994999999996</v>
      </c>
      <c r="I105" s="375">
        <f t="shared" si="24"/>
        <v>2.1252375000000003</v>
      </c>
      <c r="J105" s="375">
        <f t="shared" si="24"/>
        <v>2.7653219999999998</v>
      </c>
      <c r="K105" s="375">
        <f t="shared" si="24"/>
        <v>29.778891000000009</v>
      </c>
      <c r="L105" s="375">
        <f t="shared" si="24"/>
        <v>3.0401399999999996</v>
      </c>
      <c r="M105" s="375">
        <f t="shared" si="24"/>
        <v>2.2865114999999991</v>
      </c>
      <c r="N105" s="375">
        <f t="shared" si="24"/>
        <v>1.3055220000000012</v>
      </c>
      <c r="O105" s="375">
        <f t="shared" si="24"/>
        <v>2.7803159999999982</v>
      </c>
      <c r="P105" s="375">
        <f t="shared" si="24"/>
        <v>5.7780000000000054E-2</v>
      </c>
      <c r="Q105" s="375">
        <f t="shared" si="24"/>
        <v>0</v>
      </c>
      <c r="R105" s="375">
        <f t="shared" si="24"/>
        <v>0</v>
      </c>
      <c r="S105" s="375">
        <f t="shared" si="24"/>
        <v>0</v>
      </c>
      <c r="T105" s="375">
        <f t="shared" si="24"/>
        <v>0</v>
      </c>
      <c r="U105" s="375">
        <f t="shared" si="24"/>
        <v>0</v>
      </c>
      <c r="V105" s="375">
        <f t="shared" si="24"/>
        <v>0</v>
      </c>
      <c r="W105" s="375">
        <f t="shared" si="24"/>
        <v>0</v>
      </c>
      <c r="X105" s="375">
        <f t="shared" si="24"/>
        <v>0</v>
      </c>
      <c r="Y105" s="369"/>
    </row>
    <row r="107" spans="1:26" ht="13.5" thickBot="1" x14ac:dyDescent="0.25">
      <c r="A107" s="6" t="s">
        <v>317</v>
      </c>
    </row>
    <row r="108" spans="1:26" ht="13.5" thickBot="1" x14ac:dyDescent="0.25">
      <c r="A108" s="361" t="s">
        <v>319</v>
      </c>
      <c r="B108" s="359">
        <f>ROW(A108)</f>
        <v>108</v>
      </c>
      <c r="C108" s="363" t="s">
        <v>115</v>
      </c>
      <c r="D108" s="353">
        <f>SUM(B111:Y111)</f>
        <v>24.269519000000003</v>
      </c>
      <c r="E108" s="363" t="s">
        <v>114</v>
      </c>
      <c r="F108" s="354">
        <f>D108/g/J108</f>
        <v>154.62231778797147</v>
      </c>
      <c r="G108" s="363" t="s">
        <v>56</v>
      </c>
      <c r="H108" s="64">
        <v>5.1999999999999998E-2</v>
      </c>
      <c r="I108" s="363" t="s">
        <v>271</v>
      </c>
      <c r="J108" s="355">
        <f>H108-L108</f>
        <v>1.6E-2</v>
      </c>
      <c r="K108" s="363" t="s">
        <v>272</v>
      </c>
      <c r="L108" s="64">
        <v>3.5999999999999997E-2</v>
      </c>
      <c r="M108" s="363" t="s">
        <v>57</v>
      </c>
      <c r="N108" s="396">
        <v>35</v>
      </c>
      <c r="O108" s="363" t="s">
        <v>59</v>
      </c>
      <c r="P108" s="396">
        <v>35</v>
      </c>
      <c r="Q108" s="363" t="s">
        <v>60</v>
      </c>
      <c r="R108" s="65">
        <v>69</v>
      </c>
      <c r="S108" s="363" t="s">
        <v>61</v>
      </c>
      <c r="T108" s="65">
        <v>24</v>
      </c>
      <c r="U108" s="363" t="s">
        <v>54</v>
      </c>
      <c r="V108" s="66" t="s">
        <v>399</v>
      </c>
      <c r="W108" s="463" t="s">
        <v>394</v>
      </c>
      <c r="X108" s="465">
        <v>1</v>
      </c>
      <c r="Y108" s="463" t="s">
        <v>393</v>
      </c>
      <c r="Z108" s="358">
        <v>13</v>
      </c>
    </row>
    <row r="109" spans="1:26" x14ac:dyDescent="0.2">
      <c r="A109" s="362" t="s">
        <v>33</v>
      </c>
      <c r="B109" s="370">
        <v>0</v>
      </c>
      <c r="C109" s="371">
        <v>8.0000000000000002E-3</v>
      </c>
      <c r="D109" s="371">
        <v>2.5999999999999999E-2</v>
      </c>
      <c r="E109" s="371">
        <v>3.7999999999999999E-2</v>
      </c>
      <c r="F109" s="371">
        <v>6.7000000000000004E-2</v>
      </c>
      <c r="G109" s="371">
        <v>0.10100000000000001</v>
      </c>
      <c r="H109" s="371">
        <v>0.33</v>
      </c>
      <c r="I109" s="371">
        <v>0.52800000000000002</v>
      </c>
      <c r="J109" s="371">
        <v>0.71599999999999997</v>
      </c>
      <c r="K109" s="371">
        <v>0.84099999999999997</v>
      </c>
      <c r="L109" s="371">
        <v>0.91200000000000003</v>
      </c>
      <c r="M109" s="371">
        <v>0.98699999999999999</v>
      </c>
      <c r="N109" s="371">
        <v>1.016</v>
      </c>
      <c r="O109" s="371">
        <v>1.0649999999999999</v>
      </c>
      <c r="P109" s="371">
        <v>1.087</v>
      </c>
      <c r="Q109" s="371">
        <v>2</v>
      </c>
      <c r="R109" s="371">
        <v>2</v>
      </c>
      <c r="S109" s="371">
        <v>2</v>
      </c>
      <c r="T109" s="371">
        <v>2</v>
      </c>
      <c r="U109" s="371">
        <v>2</v>
      </c>
      <c r="V109" s="371">
        <v>2</v>
      </c>
      <c r="W109" s="371">
        <v>2</v>
      </c>
      <c r="X109" s="371">
        <v>2</v>
      </c>
      <c r="Y109" s="381">
        <v>1000</v>
      </c>
    </row>
    <row r="110" spans="1:26" x14ac:dyDescent="0.2">
      <c r="A110" s="378" t="s">
        <v>34</v>
      </c>
      <c r="B110" s="372">
        <v>0</v>
      </c>
      <c r="C110" s="373">
        <v>18.292000000000002</v>
      </c>
      <c r="D110" s="373">
        <v>30</v>
      </c>
      <c r="E110" s="373">
        <v>30.792000000000002</v>
      </c>
      <c r="F110" s="373">
        <v>18.707999999999998</v>
      </c>
      <c r="G110" s="373">
        <v>21.875</v>
      </c>
      <c r="H110" s="373">
        <v>26.082999999999998</v>
      </c>
      <c r="I110" s="373">
        <v>28.042000000000002</v>
      </c>
      <c r="J110" s="373">
        <v>27.875</v>
      </c>
      <c r="K110" s="373">
        <v>23.542000000000002</v>
      </c>
      <c r="L110" s="373">
        <v>17.832999999999998</v>
      </c>
      <c r="M110" s="373">
        <v>7</v>
      </c>
      <c r="N110" s="373">
        <v>3.3330000000000002</v>
      </c>
      <c r="O110" s="373">
        <v>1.083</v>
      </c>
      <c r="P110" s="373">
        <v>0</v>
      </c>
      <c r="Q110" s="373">
        <v>0</v>
      </c>
      <c r="R110" s="373">
        <v>0</v>
      </c>
      <c r="S110" s="373">
        <v>0</v>
      </c>
      <c r="T110" s="373">
        <f>S110</f>
        <v>0</v>
      </c>
      <c r="U110" s="373">
        <f>T110</f>
        <v>0</v>
      </c>
      <c r="V110" s="373">
        <f>U110</f>
        <v>0</v>
      </c>
      <c r="W110" s="373">
        <f>V110</f>
        <v>0</v>
      </c>
      <c r="X110" s="373">
        <f>W110</f>
        <v>0</v>
      </c>
      <c r="Y110" s="382">
        <v>0</v>
      </c>
    </row>
    <row r="111" spans="1:26" ht="13.5" thickBot="1" x14ac:dyDescent="0.25">
      <c r="A111" s="379" t="s">
        <v>116</v>
      </c>
      <c r="B111" s="374">
        <f t="shared" ref="B111:V111" si="25">(C110+B110)*(C109-B109)/2</f>
        <v>7.3168000000000011E-2</v>
      </c>
      <c r="C111" s="375">
        <f t="shared" si="25"/>
        <v>0.43462799999999996</v>
      </c>
      <c r="D111" s="375">
        <f t="shared" si="25"/>
        <v>0.36475200000000002</v>
      </c>
      <c r="E111" s="375">
        <f t="shared" si="25"/>
        <v>0.71775000000000011</v>
      </c>
      <c r="F111" s="375">
        <f t="shared" si="25"/>
        <v>0.68991100000000005</v>
      </c>
      <c r="G111" s="375">
        <f t="shared" si="25"/>
        <v>5.4911909999999997</v>
      </c>
      <c r="H111" s="375">
        <f t="shared" si="25"/>
        <v>5.3583750000000006</v>
      </c>
      <c r="I111" s="375">
        <f t="shared" si="25"/>
        <v>5.2561979999999986</v>
      </c>
      <c r="J111" s="375">
        <f>(K110+J110)*(K109-J109)/2</f>
        <v>3.2135625000000001</v>
      </c>
      <c r="K111" s="375">
        <f t="shared" si="25"/>
        <v>1.4688125000000014</v>
      </c>
      <c r="L111" s="375">
        <f t="shared" si="25"/>
        <v>0.93123749999999939</v>
      </c>
      <c r="M111" s="375">
        <f t="shared" si="25"/>
        <v>0.14982850000000014</v>
      </c>
      <c r="N111" s="375">
        <f t="shared" si="25"/>
        <v>0.10819199999999986</v>
      </c>
      <c r="O111" s="375">
        <f t="shared" si="25"/>
        <v>1.191300000000001E-2</v>
      </c>
      <c r="P111" s="375">
        <f t="shared" si="25"/>
        <v>0</v>
      </c>
      <c r="Q111" s="375">
        <f t="shared" si="25"/>
        <v>0</v>
      </c>
      <c r="R111" s="375">
        <f t="shared" si="25"/>
        <v>0</v>
      </c>
      <c r="S111" s="375">
        <f>(T110+S110)*(T109-S109)/2</f>
        <v>0</v>
      </c>
      <c r="T111" s="375">
        <f t="shared" si="25"/>
        <v>0</v>
      </c>
      <c r="U111" s="375">
        <f t="shared" si="25"/>
        <v>0</v>
      </c>
      <c r="V111" s="375">
        <f t="shared" si="25"/>
        <v>0</v>
      </c>
      <c r="W111" s="375">
        <f>(X110+W110)*(X109-W109)/2</f>
        <v>0</v>
      </c>
      <c r="X111" s="375">
        <f>(Y110+X110)*(Y109-X109)/2</f>
        <v>0</v>
      </c>
      <c r="Y111" s="369"/>
    </row>
    <row r="112" spans="1:26" ht="13.5" thickBot="1" x14ac:dyDescent="0.25"/>
    <row r="113" spans="1:26" ht="13.5" thickBot="1" x14ac:dyDescent="0.25">
      <c r="A113" s="361" t="s">
        <v>417</v>
      </c>
      <c r="B113" s="359">
        <f>ROW(A113)</f>
        <v>113</v>
      </c>
      <c r="C113" s="363" t="s">
        <v>115</v>
      </c>
      <c r="D113" s="353">
        <f>SUM(B116:Y116)</f>
        <v>24.488898000000002</v>
      </c>
      <c r="E113" s="363" t="s">
        <v>114</v>
      </c>
      <c r="F113" s="354">
        <f>D113/g/J113</f>
        <v>121.771701350041</v>
      </c>
      <c r="G113" s="363" t="s">
        <v>56</v>
      </c>
      <c r="H113" s="64">
        <v>5.6500000000000002E-2</v>
      </c>
      <c r="I113" s="363" t="s">
        <v>271</v>
      </c>
      <c r="J113" s="355">
        <f>H113-L113</f>
        <v>2.0500000000000004E-2</v>
      </c>
      <c r="K113" s="363" t="s">
        <v>272</v>
      </c>
      <c r="L113" s="64">
        <v>3.5999999999999997E-2</v>
      </c>
      <c r="M113" s="363" t="s">
        <v>57</v>
      </c>
      <c r="N113" s="396">
        <v>35</v>
      </c>
      <c r="O113" s="363" t="s">
        <v>59</v>
      </c>
      <c r="P113" s="396">
        <v>35</v>
      </c>
      <c r="Q113" s="363" t="s">
        <v>60</v>
      </c>
      <c r="R113" s="65">
        <v>69</v>
      </c>
      <c r="S113" s="363" t="s">
        <v>61</v>
      </c>
      <c r="T113" s="65">
        <v>24</v>
      </c>
      <c r="U113" s="363" t="s">
        <v>54</v>
      </c>
      <c r="V113" s="66" t="s">
        <v>400</v>
      </c>
      <c r="W113" s="463" t="s">
        <v>394</v>
      </c>
      <c r="X113" s="465">
        <v>0.33</v>
      </c>
      <c r="Y113" s="463" t="s">
        <v>393</v>
      </c>
      <c r="Z113" s="358">
        <v>17</v>
      </c>
    </row>
    <row r="114" spans="1:26" x14ac:dyDescent="0.2">
      <c r="A114" s="362" t="s">
        <v>33</v>
      </c>
      <c r="B114" s="370">
        <v>0</v>
      </c>
      <c r="C114" s="371">
        <v>8.9999999999999993E-3</v>
      </c>
      <c r="D114" s="371">
        <v>1.2E-2</v>
      </c>
      <c r="E114" s="371">
        <v>2.3E-2</v>
      </c>
      <c r="F114" s="371">
        <v>2.7E-2</v>
      </c>
      <c r="G114" s="371">
        <v>4.7E-2</v>
      </c>
      <c r="H114" s="371">
        <v>9.1999999999999998E-2</v>
      </c>
      <c r="I114" s="371">
        <v>0.11799999999999999</v>
      </c>
      <c r="J114" s="371">
        <v>0.14099999999999999</v>
      </c>
      <c r="K114" s="371">
        <v>0.192</v>
      </c>
      <c r="L114" s="371">
        <v>0.222</v>
      </c>
      <c r="M114" s="371">
        <v>0.25</v>
      </c>
      <c r="N114" s="371">
        <v>0.26</v>
      </c>
      <c r="O114" s="371">
        <v>0.28100000000000003</v>
      </c>
      <c r="P114" s="371">
        <v>0.28699999999999998</v>
      </c>
      <c r="Q114" s="371">
        <v>0.30599999999999999</v>
      </c>
      <c r="R114" s="371">
        <v>0.314</v>
      </c>
      <c r="S114" s="371">
        <v>0.32600000000000001</v>
      </c>
      <c r="T114" s="371">
        <v>0.32900000000000001</v>
      </c>
      <c r="U114" s="371">
        <v>0.5</v>
      </c>
      <c r="V114" s="371">
        <v>1</v>
      </c>
      <c r="W114" s="371">
        <v>2</v>
      </c>
      <c r="X114" s="371">
        <v>2</v>
      </c>
      <c r="Y114" s="381">
        <v>1000</v>
      </c>
    </row>
    <row r="115" spans="1:26" x14ac:dyDescent="0.2">
      <c r="A115" s="378" t="s">
        <v>34</v>
      </c>
      <c r="B115" s="372">
        <v>0</v>
      </c>
      <c r="C115" s="373">
        <v>84.212999999999994</v>
      </c>
      <c r="D115" s="373">
        <v>95.099000000000004</v>
      </c>
      <c r="E115" s="373">
        <v>77.08</v>
      </c>
      <c r="F115" s="373">
        <v>68.697000000000003</v>
      </c>
      <c r="G115" s="373">
        <v>73.451999999999998</v>
      </c>
      <c r="H115" s="373">
        <v>81.834999999999994</v>
      </c>
      <c r="I115" s="373">
        <v>83.837000000000003</v>
      </c>
      <c r="J115" s="373">
        <v>86.465000000000003</v>
      </c>
      <c r="K115" s="373">
        <v>86.965999999999994</v>
      </c>
      <c r="L115" s="373">
        <v>85.338999999999999</v>
      </c>
      <c r="M115" s="373">
        <v>80.082999999999998</v>
      </c>
      <c r="N115" s="373">
        <v>78.331999999999994</v>
      </c>
      <c r="O115" s="373">
        <v>82.960999999999999</v>
      </c>
      <c r="P115" s="373">
        <v>78.206000000000003</v>
      </c>
      <c r="Q115" s="373">
        <v>24.776</v>
      </c>
      <c r="R115" s="373">
        <v>14.14</v>
      </c>
      <c r="S115" s="373">
        <v>8.5090000000000003</v>
      </c>
      <c r="T115" s="373">
        <v>0</v>
      </c>
      <c r="U115" s="373">
        <f>T115</f>
        <v>0</v>
      </c>
      <c r="V115" s="373">
        <f>U115</f>
        <v>0</v>
      </c>
      <c r="W115" s="373">
        <f>V115</f>
        <v>0</v>
      </c>
      <c r="X115" s="373">
        <f>W115</f>
        <v>0</v>
      </c>
      <c r="Y115" s="382">
        <v>0</v>
      </c>
    </row>
    <row r="116" spans="1:26" ht="13.5" thickBot="1" x14ac:dyDescent="0.25">
      <c r="A116" s="379" t="s">
        <v>116</v>
      </c>
      <c r="B116" s="374">
        <f t="shared" ref="B116:V116" si="26">(C115+B115)*(C114-B114)/2</f>
        <v>0.37895849999999992</v>
      </c>
      <c r="C116" s="375">
        <f t="shared" si="26"/>
        <v>0.2689680000000001</v>
      </c>
      <c r="D116" s="375">
        <f t="shared" si="26"/>
        <v>0.94698450000000001</v>
      </c>
      <c r="E116" s="375">
        <f t="shared" si="26"/>
        <v>0.29155399999999998</v>
      </c>
      <c r="F116" s="375">
        <f t="shared" si="26"/>
        <v>1.4214900000000001</v>
      </c>
      <c r="G116" s="375">
        <f t="shared" si="26"/>
        <v>3.4939574999999992</v>
      </c>
      <c r="H116" s="375">
        <f t="shared" si="26"/>
        <v>2.1537359999999994</v>
      </c>
      <c r="I116" s="375">
        <f t="shared" si="26"/>
        <v>1.9584729999999997</v>
      </c>
      <c r="J116" s="375">
        <f>(K115+J115)*(K114-J114)/2</f>
        <v>4.4224905000000012</v>
      </c>
      <c r="K116" s="375">
        <f t="shared" si="26"/>
        <v>2.5845750000000001</v>
      </c>
      <c r="L116" s="375">
        <f t="shared" si="26"/>
        <v>2.3159079999999999</v>
      </c>
      <c r="M116" s="375">
        <f t="shared" si="26"/>
        <v>0.79207500000000064</v>
      </c>
      <c r="N116" s="375">
        <f t="shared" si="26"/>
        <v>1.6935765000000016</v>
      </c>
      <c r="O116" s="375">
        <f t="shared" si="26"/>
        <v>0.48350099999999596</v>
      </c>
      <c r="P116" s="375">
        <f t="shared" si="26"/>
        <v>0.97832900000000089</v>
      </c>
      <c r="Q116" s="375">
        <f t="shared" si="26"/>
        <v>0.15566400000000014</v>
      </c>
      <c r="R116" s="375">
        <f t="shared" si="26"/>
        <v>0.13589400000000013</v>
      </c>
      <c r="S116" s="375">
        <f>(T115+S115)*(T114-S114)/2</f>
        <v>1.2763500000000013E-2</v>
      </c>
      <c r="T116" s="375">
        <f t="shared" si="26"/>
        <v>0</v>
      </c>
      <c r="U116" s="375">
        <f t="shared" si="26"/>
        <v>0</v>
      </c>
      <c r="V116" s="375">
        <f t="shared" si="26"/>
        <v>0</v>
      </c>
      <c r="W116" s="375">
        <f>(X115+W115)*(X114-W114)/2</f>
        <v>0</v>
      </c>
      <c r="X116" s="375">
        <f>(Y115+X115)*(Y114-X114)/2</f>
        <v>0</v>
      </c>
      <c r="Y116" s="369"/>
    </row>
    <row r="117" spans="1:26" ht="13.5" thickBot="1" x14ac:dyDescent="0.25"/>
    <row r="118" spans="1:26" ht="13.5" thickBot="1" x14ac:dyDescent="0.25">
      <c r="A118" s="361" t="s">
        <v>320</v>
      </c>
      <c r="B118" s="359">
        <f>ROW(A118)</f>
        <v>118</v>
      </c>
      <c r="C118" s="363" t="s">
        <v>115</v>
      </c>
      <c r="D118" s="353">
        <f>SUM(B121:Y121)</f>
        <v>26.083982500000001</v>
      </c>
      <c r="E118" s="363" t="s">
        <v>114</v>
      </c>
      <c r="F118" s="354">
        <f>D118/g/J118</f>
        <v>166.18235537716615</v>
      </c>
      <c r="G118" s="363" t="s">
        <v>56</v>
      </c>
      <c r="H118" s="64">
        <v>5.1999999999999998E-2</v>
      </c>
      <c r="I118" s="363" t="s">
        <v>271</v>
      </c>
      <c r="J118" s="355">
        <f>H118-L118</f>
        <v>1.6E-2</v>
      </c>
      <c r="K118" s="363" t="s">
        <v>272</v>
      </c>
      <c r="L118" s="64">
        <v>3.5999999999999997E-2</v>
      </c>
      <c r="M118" s="363" t="s">
        <v>57</v>
      </c>
      <c r="N118" s="396">
        <v>35</v>
      </c>
      <c r="O118" s="363" t="s">
        <v>59</v>
      </c>
      <c r="P118" s="396">
        <v>35</v>
      </c>
      <c r="Q118" s="363" t="s">
        <v>60</v>
      </c>
      <c r="R118" s="65">
        <v>69</v>
      </c>
      <c r="S118" s="363" t="s">
        <v>61</v>
      </c>
      <c r="T118" s="65">
        <v>24</v>
      </c>
      <c r="U118" s="363" t="s">
        <v>54</v>
      </c>
      <c r="V118" s="66" t="s">
        <v>399</v>
      </c>
      <c r="W118" s="463" t="s">
        <v>394</v>
      </c>
      <c r="X118" s="465">
        <v>0.85</v>
      </c>
      <c r="Y118" s="463" t="s">
        <v>393</v>
      </c>
      <c r="Z118" s="358">
        <v>15</v>
      </c>
    </row>
    <row r="119" spans="1:26" x14ac:dyDescent="0.2">
      <c r="A119" s="362" t="s">
        <v>33</v>
      </c>
      <c r="B119" s="370">
        <v>0</v>
      </c>
      <c r="C119" s="371">
        <v>0.02</v>
      </c>
      <c r="D119" s="371">
        <v>2.7E-2</v>
      </c>
      <c r="E119" s="371">
        <v>4.9000000000000002E-2</v>
      </c>
      <c r="F119" s="371">
        <v>0.113</v>
      </c>
      <c r="G119" s="371">
        <v>0.193</v>
      </c>
      <c r="H119" s="371">
        <v>0.28199999999999997</v>
      </c>
      <c r="I119" s="371">
        <v>0.5</v>
      </c>
      <c r="J119" s="371">
        <v>0.72699999999999998</v>
      </c>
      <c r="K119" s="371">
        <v>0.77100000000000002</v>
      </c>
      <c r="L119" s="371">
        <v>0.80700000000000005</v>
      </c>
      <c r="M119" s="371">
        <v>0.84</v>
      </c>
      <c r="N119" s="371">
        <v>0.87</v>
      </c>
      <c r="O119" s="371">
        <v>1</v>
      </c>
      <c r="P119" s="371">
        <v>1</v>
      </c>
      <c r="Q119" s="371">
        <v>1</v>
      </c>
      <c r="R119" s="371">
        <v>1</v>
      </c>
      <c r="S119" s="371">
        <v>1</v>
      </c>
      <c r="T119" s="371">
        <v>1</v>
      </c>
      <c r="U119" s="371">
        <v>1</v>
      </c>
      <c r="V119" s="371">
        <v>1</v>
      </c>
      <c r="W119" s="371">
        <v>1</v>
      </c>
      <c r="X119" s="371">
        <v>2</v>
      </c>
      <c r="Y119" s="381">
        <v>1000</v>
      </c>
    </row>
    <row r="120" spans="1:26" x14ac:dyDescent="0.2">
      <c r="A120" s="378" t="s">
        <v>34</v>
      </c>
      <c r="B120" s="372">
        <v>0</v>
      </c>
      <c r="C120" s="373">
        <v>43.823999999999998</v>
      </c>
      <c r="D120" s="373">
        <v>39.963999999999999</v>
      </c>
      <c r="E120" s="373">
        <v>26.780999999999999</v>
      </c>
      <c r="F120" s="373">
        <v>32.600999999999999</v>
      </c>
      <c r="G120" s="373">
        <v>34.738999999999997</v>
      </c>
      <c r="H120" s="373">
        <v>35.808</v>
      </c>
      <c r="I120" s="373">
        <v>34.442</v>
      </c>
      <c r="J120" s="373">
        <v>29.276</v>
      </c>
      <c r="K120" s="373">
        <v>22.742999999999999</v>
      </c>
      <c r="L120" s="373">
        <v>9.5609999999999999</v>
      </c>
      <c r="M120" s="373">
        <v>3.5630000000000002</v>
      </c>
      <c r="N120" s="373">
        <v>0</v>
      </c>
      <c r="O120" s="373">
        <v>0</v>
      </c>
      <c r="P120" s="373">
        <v>0</v>
      </c>
      <c r="Q120" s="373">
        <v>0</v>
      </c>
      <c r="R120" s="373">
        <v>0</v>
      </c>
      <c r="S120" s="373">
        <v>0</v>
      </c>
      <c r="T120" s="373">
        <f>S120</f>
        <v>0</v>
      </c>
      <c r="U120" s="373">
        <f>T120</f>
        <v>0</v>
      </c>
      <c r="V120" s="373">
        <f>U120</f>
        <v>0</v>
      </c>
      <c r="W120" s="373">
        <f>V120</f>
        <v>0</v>
      </c>
      <c r="X120" s="373">
        <f>W120</f>
        <v>0</v>
      </c>
      <c r="Y120" s="382">
        <v>0</v>
      </c>
    </row>
    <row r="121" spans="1:26" ht="13.5" thickBot="1" x14ac:dyDescent="0.25">
      <c r="A121" s="379" t="s">
        <v>116</v>
      </c>
      <c r="B121" s="374">
        <f t="shared" ref="B121:V121" si="27">(C120+B120)*(C119-B119)/2</f>
        <v>0.43823999999999996</v>
      </c>
      <c r="C121" s="375">
        <f t="shared" si="27"/>
        <v>0.29325799999999996</v>
      </c>
      <c r="D121" s="375">
        <f t="shared" si="27"/>
        <v>0.73419500000000015</v>
      </c>
      <c r="E121" s="375">
        <f t="shared" si="27"/>
        <v>1.9002239999999999</v>
      </c>
      <c r="F121" s="375">
        <f t="shared" si="27"/>
        <v>2.6936</v>
      </c>
      <c r="G121" s="375">
        <f t="shared" si="27"/>
        <v>3.1393414999999987</v>
      </c>
      <c r="H121" s="375">
        <f t="shared" si="27"/>
        <v>7.6572500000000012</v>
      </c>
      <c r="I121" s="375">
        <f t="shared" si="27"/>
        <v>7.2319930000000001</v>
      </c>
      <c r="J121" s="375">
        <f>(K120+J120)*(K119-J119)/2</f>
        <v>1.144418000000001</v>
      </c>
      <c r="K121" s="375">
        <f t="shared" si="27"/>
        <v>0.58147200000000054</v>
      </c>
      <c r="L121" s="375">
        <f t="shared" si="27"/>
        <v>0.21654599999999946</v>
      </c>
      <c r="M121" s="375">
        <f t="shared" si="27"/>
        <v>5.3445000000000048E-2</v>
      </c>
      <c r="N121" s="375">
        <f t="shared" si="27"/>
        <v>0</v>
      </c>
      <c r="O121" s="375">
        <f t="shared" si="27"/>
        <v>0</v>
      </c>
      <c r="P121" s="375">
        <f t="shared" si="27"/>
        <v>0</v>
      </c>
      <c r="Q121" s="375">
        <f t="shared" si="27"/>
        <v>0</v>
      </c>
      <c r="R121" s="375">
        <f t="shared" si="27"/>
        <v>0</v>
      </c>
      <c r="S121" s="375">
        <f>(T120+S120)*(T119-S119)/2</f>
        <v>0</v>
      </c>
      <c r="T121" s="375">
        <f t="shared" si="27"/>
        <v>0</v>
      </c>
      <c r="U121" s="375">
        <f t="shared" si="27"/>
        <v>0</v>
      </c>
      <c r="V121" s="375">
        <f t="shared" si="27"/>
        <v>0</v>
      </c>
      <c r="W121" s="375">
        <f>(X120+W120)*(X119-W119)/2</f>
        <v>0</v>
      </c>
      <c r="X121" s="375">
        <f>(Y120+X120)*(Y119-X119)/2</f>
        <v>0</v>
      </c>
      <c r="Y121" s="369"/>
    </row>
    <row r="122" spans="1:26" ht="13.5" thickBot="1" x14ac:dyDescent="0.25">
      <c r="A122" s="6" t="s">
        <v>389</v>
      </c>
    </row>
    <row r="123" spans="1:26" ht="13.5" thickBot="1" x14ac:dyDescent="0.25">
      <c r="A123" s="361" t="s">
        <v>390</v>
      </c>
      <c r="B123" s="359">
        <f>ROW(A123)</f>
        <v>123</v>
      </c>
      <c r="C123" s="363" t="s">
        <v>115</v>
      </c>
      <c r="D123" s="353">
        <f>SUM(B126:Y126)</f>
        <v>49.788765499999997</v>
      </c>
      <c r="E123" s="363" t="s">
        <v>114</v>
      </c>
      <c r="F123" s="354">
        <v>231</v>
      </c>
      <c r="G123" s="363" t="s">
        <v>56</v>
      </c>
      <c r="H123" s="64">
        <v>7.2999999999999995E-2</v>
      </c>
      <c r="I123" s="363" t="s">
        <v>271</v>
      </c>
      <c r="J123" s="355">
        <f>H123-L123</f>
        <v>2.7999999999999997E-2</v>
      </c>
      <c r="K123" s="363" t="s">
        <v>272</v>
      </c>
      <c r="L123" s="64">
        <v>4.4999999999999998E-2</v>
      </c>
      <c r="M123" s="363" t="s">
        <v>57</v>
      </c>
      <c r="N123" s="396">
        <v>50</v>
      </c>
      <c r="O123" s="363" t="s">
        <v>59</v>
      </c>
      <c r="P123" s="396">
        <v>50</v>
      </c>
      <c r="Q123" s="363" t="s">
        <v>60</v>
      </c>
      <c r="R123" s="65">
        <v>101</v>
      </c>
      <c r="S123" s="363" t="s">
        <v>61</v>
      </c>
      <c r="T123" s="65">
        <v>24</v>
      </c>
      <c r="U123" s="363" t="s">
        <v>54</v>
      </c>
      <c r="V123" s="66" t="s">
        <v>119</v>
      </c>
      <c r="W123" s="463" t="s">
        <v>394</v>
      </c>
      <c r="X123" s="465">
        <v>1</v>
      </c>
      <c r="Y123" s="463" t="s">
        <v>393</v>
      </c>
      <c r="Z123" s="358">
        <v>13</v>
      </c>
    </row>
    <row r="124" spans="1:26" x14ac:dyDescent="0.2">
      <c r="A124" s="362" t="s">
        <v>33</v>
      </c>
      <c r="B124" s="470">
        <v>0</v>
      </c>
      <c r="C124" s="470">
        <v>1E-3</v>
      </c>
      <c r="D124" s="470">
        <v>2.7E-2</v>
      </c>
      <c r="E124" s="470">
        <v>5.0999999999999997E-2</v>
      </c>
      <c r="F124" s="470">
        <v>0.06</v>
      </c>
      <c r="G124" s="470">
        <v>9.1999999999999998E-2</v>
      </c>
      <c r="H124" s="470">
        <v>0.11899999999999999</v>
      </c>
      <c r="I124" s="470">
        <v>0.17</v>
      </c>
      <c r="J124" s="470">
        <v>0.3</v>
      </c>
      <c r="K124" s="470">
        <v>0.46200000000000002</v>
      </c>
      <c r="L124" s="470">
        <v>0.56899999999999995</v>
      </c>
      <c r="M124" s="470">
        <v>0.67500000000000004</v>
      </c>
      <c r="N124" s="470">
        <v>0.77800000000000002</v>
      </c>
      <c r="O124" s="470">
        <v>0.84599999999999997</v>
      </c>
      <c r="P124" s="470">
        <v>0.91700000000000004</v>
      </c>
      <c r="Q124" s="470">
        <v>1.0089999999999999</v>
      </c>
      <c r="R124" s="470">
        <v>1.032</v>
      </c>
      <c r="S124" s="470">
        <v>1.0449999999999999</v>
      </c>
      <c r="T124" s="371">
        <v>2</v>
      </c>
      <c r="U124" s="371">
        <v>2</v>
      </c>
      <c r="V124" s="371">
        <v>2</v>
      </c>
      <c r="W124" s="371">
        <v>2</v>
      </c>
      <c r="X124" s="371">
        <v>2</v>
      </c>
      <c r="Y124" s="381">
        <v>1000</v>
      </c>
    </row>
    <row r="125" spans="1:26" x14ac:dyDescent="0.2">
      <c r="A125" s="378" t="s">
        <v>34</v>
      </c>
      <c r="B125" s="470">
        <v>0</v>
      </c>
      <c r="C125" s="470">
        <v>5.1449999999999996</v>
      </c>
      <c r="D125" s="470">
        <v>67.975999999999999</v>
      </c>
      <c r="E125" s="470">
        <v>53.807000000000002</v>
      </c>
      <c r="F125" s="470">
        <v>52.88</v>
      </c>
      <c r="G125" s="470">
        <v>55.915999999999997</v>
      </c>
      <c r="H125" s="470">
        <v>57.94</v>
      </c>
      <c r="I125" s="470">
        <v>59.710999999999999</v>
      </c>
      <c r="J125" s="470">
        <v>61.145000000000003</v>
      </c>
      <c r="K125" s="470">
        <v>58.951999999999998</v>
      </c>
      <c r="L125" s="470">
        <v>55.578000000000003</v>
      </c>
      <c r="M125" s="470">
        <v>52.204999999999998</v>
      </c>
      <c r="N125" s="470">
        <v>46.386000000000003</v>
      </c>
      <c r="O125" s="470">
        <v>38.119999999999997</v>
      </c>
      <c r="P125" s="470">
        <v>20.324999999999999</v>
      </c>
      <c r="Q125" s="470">
        <v>3.5419999999999998</v>
      </c>
      <c r="R125" s="470">
        <v>1.6020000000000001</v>
      </c>
      <c r="S125" s="470">
        <v>0</v>
      </c>
      <c r="T125" s="373">
        <f>S125</f>
        <v>0</v>
      </c>
      <c r="U125" s="373">
        <f>T125</f>
        <v>0</v>
      </c>
      <c r="V125" s="373">
        <f>U125</f>
        <v>0</v>
      </c>
      <c r="W125" s="373">
        <f>V125</f>
        <v>0</v>
      </c>
      <c r="X125" s="373">
        <f>W125</f>
        <v>0</v>
      </c>
      <c r="Y125" s="382">
        <v>0</v>
      </c>
    </row>
    <row r="126" spans="1:26" ht="13.5" thickBot="1" x14ac:dyDescent="0.25">
      <c r="A126" s="379" t="s">
        <v>116</v>
      </c>
      <c r="B126" s="374">
        <f t="shared" ref="B126:X126" si="28">(C125+B125)*(C124-B124)/2</f>
        <v>2.5724999999999997E-3</v>
      </c>
      <c r="C126" s="375">
        <f t="shared" si="28"/>
        <v>0.95057299999999989</v>
      </c>
      <c r="D126" s="375">
        <f t="shared" si="28"/>
        <v>1.4613959999999999</v>
      </c>
      <c r="E126" s="375">
        <f t="shared" si="28"/>
        <v>0.48009150000000012</v>
      </c>
      <c r="F126" s="375">
        <f t="shared" si="28"/>
        <v>1.7407359999999998</v>
      </c>
      <c r="G126" s="375">
        <f t="shared" si="28"/>
        <v>1.5370559999999998</v>
      </c>
      <c r="H126" s="375">
        <f t="shared" si="28"/>
        <v>3.0001005000000007</v>
      </c>
      <c r="I126" s="375">
        <f t="shared" si="28"/>
        <v>7.8556399999999984</v>
      </c>
      <c r="J126" s="375">
        <f t="shared" si="28"/>
        <v>9.727857000000002</v>
      </c>
      <c r="K126" s="375">
        <f t="shared" si="28"/>
        <v>6.1273549999999961</v>
      </c>
      <c r="L126" s="375">
        <f t="shared" si="28"/>
        <v>5.7124990000000055</v>
      </c>
      <c r="M126" s="375">
        <f t="shared" si="28"/>
        <v>5.0774364999999992</v>
      </c>
      <c r="N126" s="375">
        <f t="shared" si="28"/>
        <v>2.8732039999999976</v>
      </c>
      <c r="O126" s="375">
        <f t="shared" si="28"/>
        <v>2.0747975000000016</v>
      </c>
      <c r="P126" s="375">
        <f t="shared" si="28"/>
        <v>1.0978819999999982</v>
      </c>
      <c r="Q126" s="375">
        <f t="shared" si="28"/>
        <v>5.915600000000034E-2</v>
      </c>
      <c r="R126" s="375">
        <f t="shared" si="28"/>
        <v>1.0412999999999921E-2</v>
      </c>
      <c r="S126" s="375">
        <f t="shared" si="28"/>
        <v>0</v>
      </c>
      <c r="T126" s="375">
        <f t="shared" si="28"/>
        <v>0</v>
      </c>
      <c r="U126" s="375">
        <f t="shared" si="28"/>
        <v>0</v>
      </c>
      <c r="V126" s="375">
        <f t="shared" si="28"/>
        <v>0</v>
      </c>
      <c r="W126" s="375">
        <f t="shared" si="28"/>
        <v>0</v>
      </c>
      <c r="X126" s="375">
        <f t="shared" si="28"/>
        <v>0</v>
      </c>
      <c r="Y126" s="369"/>
    </row>
    <row r="127" spans="1:26" ht="13.5" thickBot="1" x14ac:dyDescent="0.25"/>
    <row r="128" spans="1:26" ht="13.5" thickBot="1" x14ac:dyDescent="0.25">
      <c r="A128" s="361" t="s">
        <v>391</v>
      </c>
      <c r="B128" s="359">
        <f>ROW(A128)</f>
        <v>128</v>
      </c>
      <c r="C128" s="363" t="s">
        <v>115</v>
      </c>
      <c r="D128" s="353">
        <f>SUM(B131:Y131)</f>
        <v>52.815674000000008</v>
      </c>
      <c r="E128" s="363" t="s">
        <v>114</v>
      </c>
      <c r="F128" s="354">
        <v>239</v>
      </c>
      <c r="G128" s="363" t="s">
        <v>56</v>
      </c>
      <c r="H128" s="64">
        <v>7.2999999999999995E-2</v>
      </c>
      <c r="I128" s="363" t="s">
        <v>271</v>
      </c>
      <c r="J128" s="355">
        <f>H128-L128</f>
        <v>2.8999999999999998E-2</v>
      </c>
      <c r="K128" s="363" t="s">
        <v>272</v>
      </c>
      <c r="L128" s="64">
        <v>4.3999999999999997E-2</v>
      </c>
      <c r="M128" s="363" t="s">
        <v>57</v>
      </c>
      <c r="N128" s="396">
        <v>50</v>
      </c>
      <c r="O128" s="363" t="s">
        <v>59</v>
      </c>
      <c r="P128" s="396">
        <v>50</v>
      </c>
      <c r="Q128" s="363" t="s">
        <v>60</v>
      </c>
      <c r="R128" s="65">
        <v>101</v>
      </c>
      <c r="S128" s="363" t="s">
        <v>61</v>
      </c>
      <c r="T128" s="65">
        <v>24</v>
      </c>
      <c r="U128" s="363" t="s">
        <v>54</v>
      </c>
      <c r="V128" s="66" t="s">
        <v>119</v>
      </c>
      <c r="W128" s="463" t="s">
        <v>394</v>
      </c>
      <c r="X128" s="465">
        <v>0.77</v>
      </c>
      <c r="Y128" s="463" t="s">
        <v>393</v>
      </c>
      <c r="Z128" s="358">
        <v>14</v>
      </c>
    </row>
    <row r="129" spans="1:26" x14ac:dyDescent="0.2">
      <c r="A129" s="362" t="s">
        <v>33</v>
      </c>
      <c r="B129" s="470">
        <v>0</v>
      </c>
      <c r="C129" s="470">
        <v>1E-3</v>
      </c>
      <c r="D129" s="470">
        <v>1.2999999999999999E-2</v>
      </c>
      <c r="E129" s="470">
        <v>2.3E-2</v>
      </c>
      <c r="F129" s="470">
        <v>5.1999999999999998E-2</v>
      </c>
      <c r="G129" s="470">
        <v>0.1</v>
      </c>
      <c r="H129" s="470">
        <v>0.379</v>
      </c>
      <c r="I129" s="470">
        <v>0.64100000000000001</v>
      </c>
      <c r="J129" s="470">
        <v>0.66500000000000004</v>
      </c>
      <c r="K129" s="470">
        <v>0.70599999999999996</v>
      </c>
      <c r="L129" s="470">
        <v>0.74399999999999999</v>
      </c>
      <c r="M129" s="470">
        <v>0.78700000000000003</v>
      </c>
      <c r="N129" s="470">
        <v>0.81599999999999995</v>
      </c>
      <c r="O129" s="371">
        <v>1</v>
      </c>
      <c r="P129" s="371">
        <v>1</v>
      </c>
      <c r="Q129" s="371">
        <v>1</v>
      </c>
      <c r="R129" s="371">
        <v>1</v>
      </c>
      <c r="S129" s="371">
        <v>1</v>
      </c>
      <c r="T129" s="371">
        <v>1</v>
      </c>
      <c r="U129" s="371">
        <v>1</v>
      </c>
      <c r="V129" s="371">
        <v>1</v>
      </c>
      <c r="W129" s="371">
        <v>2</v>
      </c>
      <c r="X129" s="371">
        <v>2</v>
      </c>
      <c r="Y129" s="381">
        <v>1000</v>
      </c>
    </row>
    <row r="130" spans="1:26" x14ac:dyDescent="0.2">
      <c r="A130" s="378" t="s">
        <v>34</v>
      </c>
      <c r="B130" s="470">
        <v>0</v>
      </c>
      <c r="C130" s="470">
        <v>8.3030000000000008</v>
      </c>
      <c r="D130" s="470">
        <v>85.68</v>
      </c>
      <c r="E130" s="470">
        <v>96.149000000000001</v>
      </c>
      <c r="F130" s="470">
        <v>78.820999999999998</v>
      </c>
      <c r="G130" s="470">
        <v>83.634</v>
      </c>
      <c r="H130" s="470">
        <v>77.858000000000004</v>
      </c>
      <c r="I130" s="470">
        <v>62.575000000000003</v>
      </c>
      <c r="J130" s="470">
        <v>55.716000000000001</v>
      </c>
      <c r="K130" s="470">
        <v>23.946999999999999</v>
      </c>
      <c r="L130" s="470">
        <v>9.1460000000000008</v>
      </c>
      <c r="M130" s="470">
        <v>2.7679999999999998</v>
      </c>
      <c r="N130" s="470">
        <v>0</v>
      </c>
      <c r="O130" s="373">
        <v>0</v>
      </c>
      <c r="P130" s="373">
        <v>0</v>
      </c>
      <c r="Q130" s="373">
        <v>0</v>
      </c>
      <c r="R130" s="373">
        <v>0</v>
      </c>
      <c r="S130" s="373">
        <v>0</v>
      </c>
      <c r="T130" s="373">
        <v>0</v>
      </c>
      <c r="U130" s="373">
        <v>0</v>
      </c>
      <c r="V130" s="373">
        <f>U130</f>
        <v>0</v>
      </c>
      <c r="W130" s="373">
        <f>V130</f>
        <v>0</v>
      </c>
      <c r="X130" s="373">
        <f>W130</f>
        <v>0</v>
      </c>
      <c r="Y130" s="382">
        <v>0</v>
      </c>
    </row>
    <row r="131" spans="1:26" ht="13.5" thickBot="1" x14ac:dyDescent="0.25">
      <c r="A131" s="379" t="s">
        <v>116</v>
      </c>
      <c r="B131" s="374">
        <f t="shared" ref="B131:X131" si="29">(C130+B130)*(C129-B129)/2</f>
        <v>4.1515000000000007E-3</v>
      </c>
      <c r="C131" s="375">
        <f t="shared" si="29"/>
        <v>0.56389800000000001</v>
      </c>
      <c r="D131" s="375">
        <f t="shared" si="29"/>
        <v>0.90914500000000009</v>
      </c>
      <c r="E131" s="375">
        <f t="shared" si="29"/>
        <v>2.5370649999999997</v>
      </c>
      <c r="F131" s="375">
        <f t="shared" si="29"/>
        <v>3.8989200000000004</v>
      </c>
      <c r="G131" s="375">
        <f t="shared" si="29"/>
        <v>22.528134000000005</v>
      </c>
      <c r="H131" s="375">
        <f t="shared" si="29"/>
        <v>18.396723000000001</v>
      </c>
      <c r="I131" s="375">
        <f t="shared" si="29"/>
        <v>1.4194920000000013</v>
      </c>
      <c r="J131" s="375">
        <f t="shared" si="29"/>
        <v>1.633091499999997</v>
      </c>
      <c r="K131" s="375">
        <f t="shared" si="29"/>
        <v>0.62876700000000063</v>
      </c>
      <c r="L131" s="375">
        <f t="shared" si="29"/>
        <v>0.25615100000000024</v>
      </c>
      <c r="M131" s="375">
        <f t="shared" si="29"/>
        <v>4.013599999999988E-2</v>
      </c>
      <c r="N131" s="375">
        <f t="shared" si="29"/>
        <v>0</v>
      </c>
      <c r="O131" s="375">
        <f t="shared" si="29"/>
        <v>0</v>
      </c>
      <c r="P131" s="375">
        <f t="shared" si="29"/>
        <v>0</v>
      </c>
      <c r="Q131" s="375">
        <f t="shared" si="29"/>
        <v>0</v>
      </c>
      <c r="R131" s="375">
        <f t="shared" si="29"/>
        <v>0</v>
      </c>
      <c r="S131" s="375">
        <f t="shared" si="29"/>
        <v>0</v>
      </c>
      <c r="T131" s="375">
        <f t="shared" si="29"/>
        <v>0</v>
      </c>
      <c r="U131" s="375">
        <f t="shared" si="29"/>
        <v>0</v>
      </c>
      <c r="V131" s="375">
        <f t="shared" si="29"/>
        <v>0</v>
      </c>
      <c r="W131" s="375">
        <f t="shared" si="29"/>
        <v>0</v>
      </c>
      <c r="X131" s="375">
        <f t="shared" si="29"/>
        <v>0</v>
      </c>
      <c r="Y131" s="369"/>
    </row>
    <row r="132" spans="1:26" ht="13.5" thickBot="1" x14ac:dyDescent="0.25">
      <c r="A132" s="6" t="s">
        <v>314</v>
      </c>
    </row>
    <row r="133" spans="1:26" ht="13.5" thickBot="1" x14ac:dyDescent="0.25">
      <c r="A133" s="361" t="s">
        <v>381</v>
      </c>
      <c r="B133" s="359">
        <f>ROW(A133)</f>
        <v>133</v>
      </c>
      <c r="C133" s="363" t="s">
        <v>115</v>
      </c>
      <c r="D133" s="353">
        <f>SUM(B136:Y136)</f>
        <v>41.835000000000015</v>
      </c>
      <c r="E133" s="363" t="s">
        <v>114</v>
      </c>
      <c r="F133" s="354">
        <f>D133/g/J133</f>
        <v>121.84359982525126</v>
      </c>
      <c r="G133" s="363" t="s">
        <v>56</v>
      </c>
      <c r="H133" s="64">
        <v>0.104</v>
      </c>
      <c r="I133" s="363" t="s">
        <v>271</v>
      </c>
      <c r="J133" s="355">
        <f>H133-L133</f>
        <v>3.4999999999999989E-2</v>
      </c>
      <c r="K133" s="363" t="s">
        <v>272</v>
      </c>
      <c r="L133" s="64">
        <v>6.9000000000000006E-2</v>
      </c>
      <c r="M133" s="363" t="s">
        <v>57</v>
      </c>
      <c r="N133" s="65">
        <v>49</v>
      </c>
      <c r="O133" s="363" t="s">
        <v>59</v>
      </c>
      <c r="P133" s="65">
        <v>49</v>
      </c>
      <c r="Q133" s="363" t="s">
        <v>60</v>
      </c>
      <c r="R133" s="65">
        <v>98</v>
      </c>
      <c r="S133" s="363" t="s">
        <v>61</v>
      </c>
      <c r="T133" s="65">
        <v>29</v>
      </c>
      <c r="U133" s="363" t="s">
        <v>54</v>
      </c>
      <c r="V133" s="66" t="s">
        <v>399</v>
      </c>
      <c r="W133" s="463" t="s">
        <v>394</v>
      </c>
      <c r="X133" s="465">
        <v>1.07</v>
      </c>
      <c r="Y133" s="463" t="s">
        <v>393</v>
      </c>
      <c r="Z133" s="358">
        <v>11</v>
      </c>
    </row>
    <row r="134" spans="1:26" x14ac:dyDescent="0.2">
      <c r="A134" s="362" t="s">
        <v>33</v>
      </c>
      <c r="B134" s="370">
        <v>0</v>
      </c>
      <c r="C134" s="371">
        <v>0.01</v>
      </c>
      <c r="D134" s="371">
        <v>0.02</v>
      </c>
      <c r="E134" s="371">
        <v>0.03</v>
      </c>
      <c r="F134" s="371">
        <v>0.04</v>
      </c>
      <c r="G134" s="371">
        <v>0.06</v>
      </c>
      <c r="H134" s="371">
        <v>7.0000000000000007E-2</v>
      </c>
      <c r="I134" s="371">
        <v>0.08</v>
      </c>
      <c r="J134" s="371">
        <v>0.1</v>
      </c>
      <c r="K134" s="371">
        <v>0.2</v>
      </c>
      <c r="L134" s="371">
        <v>0.3</v>
      </c>
      <c r="M134" s="371">
        <v>0.4</v>
      </c>
      <c r="N134" s="371">
        <v>0.5</v>
      </c>
      <c r="O134" s="371">
        <v>0.6</v>
      </c>
      <c r="P134" s="371">
        <v>0.7</v>
      </c>
      <c r="Q134" s="371">
        <v>0.8</v>
      </c>
      <c r="R134" s="371">
        <v>0.85</v>
      </c>
      <c r="S134" s="371">
        <v>0.92</v>
      </c>
      <c r="T134" s="371">
        <v>0.95</v>
      </c>
      <c r="U134" s="371">
        <v>0.99</v>
      </c>
      <c r="V134" s="371">
        <v>1.05</v>
      </c>
      <c r="W134" s="371">
        <v>1.05</v>
      </c>
      <c r="X134" s="371">
        <v>2</v>
      </c>
      <c r="Y134" s="381">
        <v>1000</v>
      </c>
    </row>
    <row r="135" spans="1:26" x14ac:dyDescent="0.2">
      <c r="A135" s="378" t="s">
        <v>34</v>
      </c>
      <c r="B135" s="372">
        <v>0</v>
      </c>
      <c r="C135" s="373">
        <v>12</v>
      </c>
      <c r="D135" s="373">
        <v>46</v>
      </c>
      <c r="E135" s="373">
        <v>75</v>
      </c>
      <c r="F135" s="373">
        <v>79</v>
      </c>
      <c r="G135" s="373">
        <v>77</v>
      </c>
      <c r="H135" s="373">
        <v>62</v>
      </c>
      <c r="I135" s="373">
        <v>32</v>
      </c>
      <c r="J135" s="373">
        <v>35</v>
      </c>
      <c r="K135" s="373">
        <v>38</v>
      </c>
      <c r="L135" s="373">
        <v>39</v>
      </c>
      <c r="M135" s="373">
        <v>41</v>
      </c>
      <c r="N135" s="373">
        <v>43</v>
      </c>
      <c r="O135" s="373">
        <v>43</v>
      </c>
      <c r="P135" s="373">
        <v>43</v>
      </c>
      <c r="Q135" s="373">
        <v>43</v>
      </c>
      <c r="R135" s="373">
        <v>47</v>
      </c>
      <c r="S135" s="373">
        <v>54</v>
      </c>
      <c r="T135" s="373">
        <v>32</v>
      </c>
      <c r="U135" s="373">
        <v>8</v>
      </c>
      <c r="V135" s="373">
        <v>0</v>
      </c>
      <c r="W135" s="373">
        <v>0</v>
      </c>
      <c r="X135" s="373">
        <v>0</v>
      </c>
      <c r="Y135" s="382">
        <v>0</v>
      </c>
    </row>
    <row r="136" spans="1:26" ht="13.5" thickBot="1" x14ac:dyDescent="0.25">
      <c r="A136" s="379" t="s">
        <v>116</v>
      </c>
      <c r="B136" s="374">
        <f t="shared" ref="B136:X136" si="30">(C135+B135)*(C134-B134)/2</f>
        <v>0.06</v>
      </c>
      <c r="C136" s="375">
        <f t="shared" si="30"/>
        <v>0.28999999999999998</v>
      </c>
      <c r="D136" s="375">
        <f t="shared" si="30"/>
        <v>0.60499999999999987</v>
      </c>
      <c r="E136" s="375">
        <f t="shared" si="30"/>
        <v>0.77000000000000013</v>
      </c>
      <c r="F136" s="375">
        <f t="shared" si="30"/>
        <v>1.5599999999999998</v>
      </c>
      <c r="G136" s="375">
        <f t="shared" si="30"/>
        <v>0.69500000000000062</v>
      </c>
      <c r="H136" s="375">
        <f t="shared" si="30"/>
        <v>0.46999999999999975</v>
      </c>
      <c r="I136" s="375">
        <f t="shared" si="30"/>
        <v>0.67000000000000015</v>
      </c>
      <c r="J136" s="375">
        <f t="shared" si="30"/>
        <v>3.6500000000000004</v>
      </c>
      <c r="K136" s="375">
        <f t="shared" si="30"/>
        <v>3.8499999999999992</v>
      </c>
      <c r="L136" s="375">
        <f t="shared" si="30"/>
        <v>4.0000000000000018</v>
      </c>
      <c r="M136" s="375">
        <f t="shared" si="30"/>
        <v>4.1999999999999993</v>
      </c>
      <c r="N136" s="375">
        <f t="shared" si="30"/>
        <v>4.2999999999999989</v>
      </c>
      <c r="O136" s="375">
        <f t="shared" si="30"/>
        <v>4.2999999999999989</v>
      </c>
      <c r="P136" s="375">
        <f t="shared" si="30"/>
        <v>4.3000000000000043</v>
      </c>
      <c r="Q136" s="375">
        <f t="shared" si="30"/>
        <v>2.2499999999999969</v>
      </c>
      <c r="R136" s="375">
        <f t="shared" si="30"/>
        <v>3.5350000000000033</v>
      </c>
      <c r="S136" s="375">
        <f t="shared" si="30"/>
        <v>1.2899999999999965</v>
      </c>
      <c r="T136" s="375">
        <f t="shared" si="30"/>
        <v>0.80000000000000071</v>
      </c>
      <c r="U136" s="375">
        <f t="shared" si="30"/>
        <v>0.24000000000000021</v>
      </c>
      <c r="V136" s="375">
        <f t="shared" si="30"/>
        <v>0</v>
      </c>
      <c r="W136" s="375">
        <f t="shared" si="30"/>
        <v>0</v>
      </c>
      <c r="X136" s="375">
        <f t="shared" si="30"/>
        <v>0</v>
      </c>
      <c r="Y136" s="369"/>
    </row>
    <row r="137" spans="1:26" ht="13.5" thickBot="1" x14ac:dyDescent="0.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6" ht="13.5" thickBot="1" x14ac:dyDescent="0.25">
      <c r="A138" s="361" t="s">
        <v>382</v>
      </c>
      <c r="B138" s="359">
        <f>ROW(A138)</f>
        <v>138</v>
      </c>
      <c r="C138" s="363" t="s">
        <v>115</v>
      </c>
      <c r="D138" s="353">
        <f>SUM(B141:Y141)</f>
        <v>52.564999999999998</v>
      </c>
      <c r="E138" s="363" t="s">
        <v>114</v>
      </c>
      <c r="F138" s="354">
        <f>D138/g/J138</f>
        <v>167.44712028542301</v>
      </c>
      <c r="G138" s="363" t="s">
        <v>56</v>
      </c>
      <c r="H138" s="64">
        <v>0.10100000000000001</v>
      </c>
      <c r="I138" s="363" t="s">
        <v>271</v>
      </c>
      <c r="J138" s="355">
        <f>H138-L138</f>
        <v>3.2000000000000001E-2</v>
      </c>
      <c r="K138" s="363" t="s">
        <v>272</v>
      </c>
      <c r="L138" s="64">
        <v>6.9000000000000006E-2</v>
      </c>
      <c r="M138" s="363" t="s">
        <v>57</v>
      </c>
      <c r="N138" s="65">
        <v>49</v>
      </c>
      <c r="O138" s="363" t="s">
        <v>59</v>
      </c>
      <c r="P138" s="65">
        <v>49</v>
      </c>
      <c r="Q138" s="363" t="s">
        <v>60</v>
      </c>
      <c r="R138" s="65">
        <v>98</v>
      </c>
      <c r="S138" s="363" t="s">
        <v>61</v>
      </c>
      <c r="T138" s="65">
        <v>29</v>
      </c>
      <c r="U138" s="363" t="s">
        <v>54</v>
      </c>
      <c r="V138" s="66" t="s">
        <v>400</v>
      </c>
      <c r="W138" s="463" t="s">
        <v>394</v>
      </c>
      <c r="X138" s="465">
        <v>1.8</v>
      </c>
      <c r="Y138" s="463" t="s">
        <v>393</v>
      </c>
      <c r="Z138" s="358">
        <v>12</v>
      </c>
    </row>
    <row r="139" spans="1:26" x14ac:dyDescent="0.2">
      <c r="A139" s="362" t="s">
        <v>33</v>
      </c>
      <c r="B139" s="370">
        <v>0</v>
      </c>
      <c r="C139" s="371">
        <v>0.01</v>
      </c>
      <c r="D139" s="371">
        <v>0.03</v>
      </c>
      <c r="E139" s="371">
        <v>0.04</v>
      </c>
      <c r="F139" s="371">
        <v>0.05</v>
      </c>
      <c r="G139" s="371">
        <v>0.06</v>
      </c>
      <c r="H139" s="371">
        <v>7.0000000000000007E-2</v>
      </c>
      <c r="I139" s="371">
        <v>0.08</v>
      </c>
      <c r="J139" s="371">
        <v>0.09</v>
      </c>
      <c r="K139" s="371">
        <v>0.1</v>
      </c>
      <c r="L139" s="371">
        <v>0.2</v>
      </c>
      <c r="M139" s="371">
        <v>0.3</v>
      </c>
      <c r="N139" s="371">
        <v>0.4</v>
      </c>
      <c r="O139" s="371">
        <v>0.5</v>
      </c>
      <c r="P139" s="371">
        <v>0.7</v>
      </c>
      <c r="Q139" s="371">
        <v>0.8</v>
      </c>
      <c r="R139" s="371">
        <v>0.9</v>
      </c>
      <c r="S139" s="371">
        <v>1</v>
      </c>
      <c r="T139" s="371">
        <v>1.1000000000000001</v>
      </c>
      <c r="U139" s="371">
        <v>1.24</v>
      </c>
      <c r="V139" s="371">
        <v>1.3</v>
      </c>
      <c r="W139" s="371">
        <v>1.5</v>
      </c>
      <c r="X139" s="371">
        <v>2</v>
      </c>
      <c r="Y139" s="381">
        <v>1000</v>
      </c>
    </row>
    <row r="140" spans="1:26" x14ac:dyDescent="0.2">
      <c r="A140" s="378" t="s">
        <v>34</v>
      </c>
      <c r="B140" s="372">
        <v>0</v>
      </c>
      <c r="C140" s="373">
        <v>12</v>
      </c>
      <c r="D140" s="373">
        <v>41</v>
      </c>
      <c r="E140" s="373">
        <v>42</v>
      </c>
      <c r="F140" s="373">
        <v>42</v>
      </c>
      <c r="G140" s="373">
        <v>40</v>
      </c>
      <c r="H140" s="373">
        <v>34</v>
      </c>
      <c r="I140" s="373">
        <v>34</v>
      </c>
      <c r="J140" s="373">
        <v>35</v>
      </c>
      <c r="K140" s="373">
        <v>36</v>
      </c>
      <c r="L140" s="373">
        <v>40</v>
      </c>
      <c r="M140" s="373">
        <v>42</v>
      </c>
      <c r="N140" s="373">
        <v>43</v>
      </c>
      <c r="O140" s="373">
        <v>43</v>
      </c>
      <c r="P140" s="373">
        <v>43</v>
      </c>
      <c r="Q140" s="373">
        <v>42</v>
      </c>
      <c r="R140" s="373">
        <v>41</v>
      </c>
      <c r="S140" s="373">
        <v>40</v>
      </c>
      <c r="T140" s="373">
        <v>38</v>
      </c>
      <c r="U140" s="373">
        <v>37</v>
      </c>
      <c r="V140" s="373">
        <v>12</v>
      </c>
      <c r="W140" s="373">
        <v>0</v>
      </c>
      <c r="X140" s="373">
        <v>0</v>
      </c>
      <c r="Y140" s="382">
        <v>0</v>
      </c>
    </row>
    <row r="141" spans="1:26" ht="13.5" thickBot="1" x14ac:dyDescent="0.25">
      <c r="A141" s="379" t="s">
        <v>116</v>
      </c>
      <c r="B141" s="374">
        <f t="shared" ref="B141:X141" si="31">(C140+B140)*(C139-B139)/2</f>
        <v>0.06</v>
      </c>
      <c r="C141" s="375">
        <f t="shared" si="31"/>
        <v>0.52999999999999992</v>
      </c>
      <c r="D141" s="375">
        <f t="shared" si="31"/>
        <v>0.41500000000000009</v>
      </c>
      <c r="E141" s="375">
        <f t="shared" si="31"/>
        <v>0.4200000000000001</v>
      </c>
      <c r="F141" s="375">
        <f t="shared" si="31"/>
        <v>0.40999999999999981</v>
      </c>
      <c r="G141" s="375">
        <f t="shared" si="31"/>
        <v>0.37000000000000033</v>
      </c>
      <c r="H141" s="375">
        <f t="shared" si="31"/>
        <v>0.33999999999999986</v>
      </c>
      <c r="I141" s="375">
        <f t="shared" si="31"/>
        <v>0.34499999999999981</v>
      </c>
      <c r="J141" s="375">
        <f t="shared" si="31"/>
        <v>0.35500000000000032</v>
      </c>
      <c r="K141" s="375">
        <f t="shared" si="31"/>
        <v>3.8000000000000003</v>
      </c>
      <c r="L141" s="375">
        <f t="shared" si="31"/>
        <v>4.0999999999999988</v>
      </c>
      <c r="M141" s="375">
        <f t="shared" si="31"/>
        <v>4.2500000000000018</v>
      </c>
      <c r="N141" s="375">
        <f t="shared" si="31"/>
        <v>4.2999999999999989</v>
      </c>
      <c r="O141" s="375">
        <f t="shared" si="31"/>
        <v>8.5999999999999979</v>
      </c>
      <c r="P141" s="375">
        <f t="shared" si="31"/>
        <v>4.2500000000000036</v>
      </c>
      <c r="Q141" s="375">
        <f t="shared" si="31"/>
        <v>4.1499999999999995</v>
      </c>
      <c r="R141" s="375">
        <f t="shared" si="31"/>
        <v>4.0499999999999989</v>
      </c>
      <c r="S141" s="375">
        <f t="shared" si="31"/>
        <v>3.9000000000000035</v>
      </c>
      <c r="T141" s="375">
        <f t="shared" si="31"/>
        <v>5.2499999999999964</v>
      </c>
      <c r="U141" s="375">
        <f t="shared" si="31"/>
        <v>1.4700000000000013</v>
      </c>
      <c r="V141" s="375">
        <f t="shared" si="31"/>
        <v>1.1999999999999997</v>
      </c>
      <c r="W141" s="375">
        <f t="shared" si="31"/>
        <v>0</v>
      </c>
      <c r="X141" s="375">
        <f t="shared" si="31"/>
        <v>0</v>
      </c>
      <c r="Y141" s="369"/>
    </row>
    <row r="142" spans="1:26" ht="13.5" thickBot="1" x14ac:dyDescent="0.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6" ht="13.5" thickBot="1" x14ac:dyDescent="0.25">
      <c r="A143" s="361" t="s">
        <v>383</v>
      </c>
      <c r="B143" s="359">
        <f>ROW(A143)</f>
        <v>143</v>
      </c>
      <c r="C143" s="363" t="s">
        <v>115</v>
      </c>
      <c r="D143" s="353">
        <f>SUM(B146:Y146)</f>
        <v>54.110016122119539</v>
      </c>
      <c r="E143" s="363" t="s">
        <v>114</v>
      </c>
      <c r="F143" s="354">
        <f>D143/g/J143</f>
        <v>146.69685764124625</v>
      </c>
      <c r="G143" s="363" t="s">
        <v>56</v>
      </c>
      <c r="H143" s="64">
        <v>0.10580000000000001</v>
      </c>
      <c r="I143" s="363" t="s">
        <v>271</v>
      </c>
      <c r="J143" s="355">
        <f>H143-L143</f>
        <v>3.7600000000000008E-2</v>
      </c>
      <c r="K143" s="363" t="s">
        <v>272</v>
      </c>
      <c r="L143" s="64">
        <v>6.8199999999999997E-2</v>
      </c>
      <c r="M143" s="363" t="s">
        <v>57</v>
      </c>
      <c r="N143" s="65">
        <v>49</v>
      </c>
      <c r="O143" s="363" t="s">
        <v>59</v>
      </c>
      <c r="P143" s="65">
        <v>49</v>
      </c>
      <c r="Q143" s="363" t="s">
        <v>60</v>
      </c>
      <c r="R143" s="65">
        <v>98</v>
      </c>
      <c r="S143" s="363" t="s">
        <v>61</v>
      </c>
      <c r="T143" s="65">
        <v>29</v>
      </c>
      <c r="U143" s="363" t="s">
        <v>54</v>
      </c>
      <c r="V143" s="66" t="s">
        <v>399</v>
      </c>
      <c r="W143" s="463" t="s">
        <v>394</v>
      </c>
      <c r="X143" s="465">
        <v>1.9</v>
      </c>
      <c r="Y143" s="463" t="s">
        <v>393</v>
      </c>
      <c r="Z143" s="358">
        <v>12</v>
      </c>
    </row>
    <row r="144" spans="1:26" x14ac:dyDescent="0.2">
      <c r="A144" s="362" t="s">
        <v>33</v>
      </c>
      <c r="B144" s="370">
        <v>0</v>
      </c>
      <c r="C144" s="371">
        <v>2.5000000000000001E-2</v>
      </c>
      <c r="D144" s="371">
        <v>0.05</v>
      </c>
      <c r="E144" s="371">
        <v>7.4999999999999997E-2</v>
      </c>
      <c r="F144" s="371">
        <v>0.1</v>
      </c>
      <c r="G144" s="371">
        <v>0.15</v>
      </c>
      <c r="H144" s="371">
        <v>0.17499999999999999</v>
      </c>
      <c r="I144" s="371">
        <v>0.2</v>
      </c>
      <c r="J144" s="371">
        <v>0.3</v>
      </c>
      <c r="K144" s="371">
        <v>0.4</v>
      </c>
      <c r="L144" s="371">
        <v>0.5</v>
      </c>
      <c r="M144" s="371">
        <v>0.6</v>
      </c>
      <c r="N144" s="371">
        <v>0.7</v>
      </c>
      <c r="O144" s="371">
        <v>0.8</v>
      </c>
      <c r="P144" s="371">
        <v>0.9</v>
      </c>
      <c r="Q144" s="371">
        <v>1.1000000000000001</v>
      </c>
      <c r="R144" s="371">
        <v>1.2</v>
      </c>
      <c r="S144" s="371">
        <v>1.6</v>
      </c>
      <c r="T144" s="371">
        <v>1.7</v>
      </c>
      <c r="U144" s="371">
        <v>1.8</v>
      </c>
      <c r="V144" s="371">
        <v>1.9</v>
      </c>
      <c r="W144" s="371">
        <v>1.9999</v>
      </c>
      <c r="X144" s="371">
        <v>2</v>
      </c>
      <c r="Y144" s="381">
        <v>1000</v>
      </c>
    </row>
    <row r="145" spans="1:26" x14ac:dyDescent="0.2">
      <c r="A145" s="378" t="s">
        <v>34</v>
      </c>
      <c r="B145" s="372">
        <v>0</v>
      </c>
      <c r="C145" s="376">
        <v>15.2574001848975</v>
      </c>
      <c r="D145" s="376">
        <v>26.377954255522496</v>
      </c>
      <c r="E145" s="376">
        <v>21.484910464447498</v>
      </c>
      <c r="F145" s="376">
        <v>24.020396792549999</v>
      </c>
      <c r="G145" s="376">
        <v>28.11276069054</v>
      </c>
      <c r="H145" s="376">
        <v>28.691029502212498</v>
      </c>
      <c r="I145" s="376">
        <v>29.180333881319996</v>
      </c>
      <c r="J145" s="376">
        <v>31.493409128009997</v>
      </c>
      <c r="K145" s="376">
        <v>32.560982318789996</v>
      </c>
      <c r="L145" s="376">
        <v>32.827875616484995</v>
      </c>
      <c r="M145" s="376">
        <v>32.649946751354996</v>
      </c>
      <c r="N145" s="376">
        <v>32.383053453659997</v>
      </c>
      <c r="O145" s="376">
        <v>32.249606804812501</v>
      </c>
      <c r="P145" s="376">
        <v>31.804784641987499</v>
      </c>
      <c r="Q145" s="376">
        <v>30.559282586077497</v>
      </c>
      <c r="R145" s="376">
        <v>30.069978206969999</v>
      </c>
      <c r="S145" s="376">
        <v>26.377954255522496</v>
      </c>
      <c r="T145" s="376">
        <v>24.865558901917499</v>
      </c>
      <c r="U145" s="376">
        <v>18.4601197572375</v>
      </c>
      <c r="V145" s="376">
        <v>7.5174945517424998</v>
      </c>
      <c r="W145" s="376">
        <v>1.3789487047575</v>
      </c>
      <c r="X145" s="373">
        <v>0</v>
      </c>
      <c r="Y145" s="382">
        <v>0</v>
      </c>
    </row>
    <row r="146" spans="1:26" ht="13.5" thickBot="1" x14ac:dyDescent="0.25">
      <c r="A146" s="379" t="s">
        <v>116</v>
      </c>
      <c r="B146" s="374">
        <f t="shared" ref="B146:V146" si="32">(C145+B145)*(C144-B144)/2</f>
        <v>0.19071750231121876</v>
      </c>
      <c r="C146" s="375">
        <f t="shared" si="32"/>
        <v>0.52044193050525001</v>
      </c>
      <c r="D146" s="375">
        <f t="shared" si="32"/>
        <v>0.5982858089996248</v>
      </c>
      <c r="E146" s="375">
        <f t="shared" si="32"/>
        <v>0.56881634071246889</v>
      </c>
      <c r="F146" s="375">
        <f t="shared" si="32"/>
        <v>1.3033289370772498</v>
      </c>
      <c r="G146" s="375">
        <f t="shared" si="32"/>
        <v>0.71004737740940616</v>
      </c>
      <c r="H146" s="375">
        <f t="shared" si="32"/>
        <v>0.72339204229415688</v>
      </c>
      <c r="I146" s="375">
        <f t="shared" si="32"/>
        <v>3.0336871504664993</v>
      </c>
      <c r="J146" s="375">
        <f>(K145+J145)*(K144-J144)/2</f>
        <v>3.2027195723400008</v>
      </c>
      <c r="K146" s="375">
        <f t="shared" si="32"/>
        <v>3.2694428967637483</v>
      </c>
      <c r="L146" s="375">
        <f t="shared" si="32"/>
        <v>3.2738911183919988</v>
      </c>
      <c r="M146" s="375">
        <f t="shared" si="32"/>
        <v>3.2516500102507484</v>
      </c>
      <c r="N146" s="375">
        <f t="shared" si="32"/>
        <v>3.2316330129236279</v>
      </c>
      <c r="O146" s="375">
        <f t="shared" si="32"/>
        <v>3.202719572339999</v>
      </c>
      <c r="P146" s="375">
        <f t="shared" si="32"/>
        <v>6.2364067228065014</v>
      </c>
      <c r="Q146" s="375">
        <f t="shared" si="32"/>
        <v>3.0314630396523707</v>
      </c>
      <c r="R146" s="375">
        <f t="shared" si="32"/>
        <v>11.289586492498502</v>
      </c>
      <c r="S146" s="375">
        <f>(T145+S145)*(T144-S144)/2</f>
        <v>2.5621756578719963</v>
      </c>
      <c r="T146" s="375">
        <f t="shared" si="32"/>
        <v>2.1662839329577519</v>
      </c>
      <c r="U146" s="375">
        <f t="shared" si="32"/>
        <v>1.2988807154489983</v>
      </c>
      <c r="V146" s="375">
        <f t="shared" si="32"/>
        <v>0.44437734066217544</v>
      </c>
      <c r="W146" s="375">
        <f>(X145+W145)*(X144-W144)/2</f>
        <v>6.894743523786741E-5</v>
      </c>
      <c r="X146" s="375">
        <f>(Y145+X145)*(Y144-X144)/2</f>
        <v>0</v>
      </c>
      <c r="Y146" s="369"/>
    </row>
    <row r="147" spans="1:26" ht="13.5" thickBot="1" x14ac:dyDescent="0.2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6" ht="13.5" thickBot="1" x14ac:dyDescent="0.25">
      <c r="A148" s="361" t="s">
        <v>544</v>
      </c>
      <c r="B148" s="359">
        <f>ROW(A148)</f>
        <v>148</v>
      </c>
      <c r="C148" s="363" t="s">
        <v>115</v>
      </c>
      <c r="D148" s="353">
        <f>SUM(B151:Y151)</f>
        <v>55.589492</v>
      </c>
      <c r="E148" s="363" t="s">
        <v>114</v>
      </c>
      <c r="F148" s="354">
        <f>D148/g/J148</f>
        <v>177.08171508664634</v>
      </c>
      <c r="G148" s="363" t="s">
        <v>56</v>
      </c>
      <c r="H148" s="64">
        <v>0.10199999999999999</v>
      </c>
      <c r="I148" s="363" t="s">
        <v>271</v>
      </c>
      <c r="J148" s="355">
        <f>H148-L148</f>
        <v>3.1999999999999987E-2</v>
      </c>
      <c r="K148" s="363" t="s">
        <v>272</v>
      </c>
      <c r="L148" s="64">
        <v>7.0000000000000007E-2</v>
      </c>
      <c r="M148" s="363" t="s">
        <v>57</v>
      </c>
      <c r="N148" s="65">
        <v>49</v>
      </c>
      <c r="O148" s="363" t="s">
        <v>59</v>
      </c>
      <c r="P148" s="65">
        <v>49</v>
      </c>
      <c r="Q148" s="363" t="s">
        <v>60</v>
      </c>
      <c r="R148" s="65">
        <v>98</v>
      </c>
      <c r="S148" s="363" t="s">
        <v>61</v>
      </c>
      <c r="T148" s="65">
        <v>29</v>
      </c>
      <c r="U148" s="363" t="s">
        <v>54</v>
      </c>
      <c r="V148" s="66" t="s">
        <v>400</v>
      </c>
      <c r="W148" s="463" t="s">
        <v>394</v>
      </c>
      <c r="X148" s="465">
        <v>0.45</v>
      </c>
      <c r="Y148" s="463" t="s">
        <v>393</v>
      </c>
      <c r="Z148" s="358">
        <v>12</v>
      </c>
    </row>
    <row r="149" spans="1:26" x14ac:dyDescent="0.2">
      <c r="A149" s="362" t="s">
        <v>33</v>
      </c>
      <c r="B149" s="370">
        <v>0</v>
      </c>
      <c r="C149" s="371">
        <v>1E-3</v>
      </c>
      <c r="D149" s="371">
        <v>2.3E-2</v>
      </c>
      <c r="E149" s="371">
        <v>0.05</v>
      </c>
      <c r="F149" s="371">
        <v>5.8999999999999997E-2</v>
      </c>
      <c r="G149" s="371">
        <v>9.5000000000000001E-2</v>
      </c>
      <c r="H149" s="371">
        <v>0.21199999999999999</v>
      </c>
      <c r="I149" s="371">
        <v>0.34399999999999997</v>
      </c>
      <c r="J149" s="371">
        <v>1.5669999999999999</v>
      </c>
      <c r="K149" s="371">
        <v>1.631</v>
      </c>
      <c r="L149" s="371">
        <v>1.663</v>
      </c>
      <c r="M149" s="371">
        <v>1.7849999999999999</v>
      </c>
      <c r="N149" s="371">
        <v>1.8280000000000001</v>
      </c>
      <c r="O149" s="371">
        <v>2</v>
      </c>
      <c r="P149" s="371">
        <v>2</v>
      </c>
      <c r="Q149" s="371">
        <v>2</v>
      </c>
      <c r="R149" s="371">
        <v>2</v>
      </c>
      <c r="S149" s="371">
        <v>2</v>
      </c>
      <c r="T149" s="371">
        <v>2</v>
      </c>
      <c r="U149" s="371">
        <v>2</v>
      </c>
      <c r="V149" s="371">
        <v>2</v>
      </c>
      <c r="W149" s="371">
        <v>2</v>
      </c>
      <c r="X149" s="371">
        <v>2</v>
      </c>
      <c r="Y149" s="381">
        <v>1000</v>
      </c>
    </row>
    <row r="150" spans="1:26" x14ac:dyDescent="0.2">
      <c r="A150" s="378" t="s">
        <v>34</v>
      </c>
      <c r="B150" s="372">
        <v>0</v>
      </c>
      <c r="C150" s="373">
        <v>3.4830000000000001</v>
      </c>
      <c r="D150" s="373">
        <v>64.052999999999997</v>
      </c>
      <c r="E150" s="373">
        <v>31.347000000000001</v>
      </c>
      <c r="F150" s="373">
        <v>28.459</v>
      </c>
      <c r="G150" s="373">
        <v>32.027000000000001</v>
      </c>
      <c r="H150" s="373">
        <v>36.189</v>
      </c>
      <c r="I150" s="373">
        <v>37.548999999999999</v>
      </c>
      <c r="J150" s="373">
        <v>26.164999999999999</v>
      </c>
      <c r="K150" s="373">
        <v>26.93</v>
      </c>
      <c r="L150" s="373">
        <v>25.315999999999999</v>
      </c>
      <c r="M150" s="373">
        <v>3.653</v>
      </c>
      <c r="N150" s="373">
        <v>0</v>
      </c>
      <c r="O150" s="373">
        <v>0</v>
      </c>
      <c r="P150" s="373">
        <v>0</v>
      </c>
      <c r="Q150" s="373">
        <v>0</v>
      </c>
      <c r="R150" s="373">
        <v>0</v>
      </c>
      <c r="S150" s="373">
        <v>0</v>
      </c>
      <c r="T150" s="373">
        <v>0</v>
      </c>
      <c r="U150" s="373">
        <v>0</v>
      </c>
      <c r="V150" s="373">
        <v>0</v>
      </c>
      <c r="W150" s="373">
        <v>0</v>
      </c>
      <c r="X150" s="373">
        <v>0</v>
      </c>
      <c r="Y150" s="382">
        <v>0</v>
      </c>
    </row>
    <row r="151" spans="1:26" ht="13.5" thickBot="1" x14ac:dyDescent="0.25">
      <c r="A151" s="379" t="s">
        <v>116</v>
      </c>
      <c r="B151" s="374">
        <f t="shared" ref="B151" si="33">(C150+B150)*(C149-B149)/2</f>
        <v>1.7415E-3</v>
      </c>
      <c r="C151" s="375">
        <f t="shared" ref="C151" si="34">(D150+C150)*(D149-C149)/2</f>
        <v>0.742896</v>
      </c>
      <c r="D151" s="375">
        <f t="shared" ref="D151" si="35">(E150+D150)*(E149-D149)/2</f>
        <v>1.2879000000000003</v>
      </c>
      <c r="E151" s="375">
        <f t="shared" ref="E151" si="36">(F150+E150)*(F149-E149)/2</f>
        <v>0.26912699999999984</v>
      </c>
      <c r="F151" s="375">
        <f t="shared" ref="F151" si="37">(G150+F150)*(G149-F149)/2</f>
        <v>1.0887480000000003</v>
      </c>
      <c r="G151" s="375">
        <f t="shared" ref="G151" si="38">(H150+G150)*(H149-G149)/2</f>
        <v>3.9906360000000003</v>
      </c>
      <c r="H151" s="375">
        <f t="shared" ref="H151" si="39">(I150+H150)*(I149-H149)/2</f>
        <v>4.8667079999999991</v>
      </c>
      <c r="I151" s="375">
        <f t="shared" ref="I151" si="40">(J150+I150)*(J149-I149)/2</f>
        <v>38.961110999999995</v>
      </c>
      <c r="J151" s="375">
        <f t="shared" ref="J151" si="41">(K150+J150)*(K149-J149)/2</f>
        <v>1.6990400000000014</v>
      </c>
      <c r="K151" s="375">
        <f t="shared" ref="K151" si="42">(L150+K150)*(L149-K149)/2</f>
        <v>0.83593600000000068</v>
      </c>
      <c r="L151" s="375">
        <f t="shared" ref="L151" si="43">(M150+L150)*(M149-L149)/2</f>
        <v>1.7671089999999983</v>
      </c>
      <c r="M151" s="375">
        <f t="shared" ref="M151" si="44">(N150+M150)*(N149-M149)/2</f>
        <v>7.8539500000000276E-2</v>
      </c>
      <c r="N151" s="375">
        <f t="shared" ref="N151" si="45">(O150+N150)*(O149-N149)/2</f>
        <v>0</v>
      </c>
      <c r="O151" s="375">
        <f t="shared" ref="O151" si="46">(P150+O150)*(P149-O149)/2</f>
        <v>0</v>
      </c>
      <c r="P151" s="375">
        <f t="shared" ref="P151" si="47">(Q150+P150)*(Q149-P149)/2</f>
        <v>0</v>
      </c>
      <c r="Q151" s="375">
        <f t="shared" ref="Q151" si="48">(R150+Q150)*(R149-Q149)/2</f>
        <v>0</v>
      </c>
      <c r="R151" s="375">
        <f t="shared" ref="R151" si="49">(S150+R150)*(S149-R149)/2</f>
        <v>0</v>
      </c>
      <c r="S151" s="375">
        <f t="shared" ref="S151" si="50">(T150+S150)*(T149-S149)/2</f>
        <v>0</v>
      </c>
      <c r="T151" s="375">
        <f t="shared" ref="T151" si="51">(U150+T150)*(U149-T149)/2</f>
        <v>0</v>
      </c>
      <c r="U151" s="375">
        <f t="shared" ref="U151" si="52">(V150+U150)*(V149-U149)/2</f>
        <v>0</v>
      </c>
      <c r="V151" s="375">
        <f t="shared" ref="V151" si="53">(W150+V150)*(W149-V149)/2</f>
        <v>0</v>
      </c>
      <c r="W151" s="375">
        <f t="shared" ref="W151" si="54">(X150+W150)*(X149-W149)/2</f>
        <v>0</v>
      </c>
      <c r="X151" s="375">
        <f t="shared" ref="X151" si="55">(Y150+X150)*(Y149-X149)/2</f>
        <v>0</v>
      </c>
      <c r="Y151" s="369"/>
    </row>
    <row r="152" spans="1:26" ht="13.5" thickBot="1" x14ac:dyDescent="0.2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6" ht="13.5" thickBot="1" x14ac:dyDescent="0.25">
      <c r="A153" s="361" t="s">
        <v>384</v>
      </c>
      <c r="B153" s="359">
        <f>ROW(A153)</f>
        <v>153</v>
      </c>
      <c r="C153" s="363" t="s">
        <v>115</v>
      </c>
      <c r="D153" s="353">
        <f>SUM(B156:Y156)</f>
        <v>55.705884500000003</v>
      </c>
      <c r="E153" s="363" t="s">
        <v>114</v>
      </c>
      <c r="F153" s="354">
        <f>D153/g/J153</f>
        <v>180.84329814241278</v>
      </c>
      <c r="G153" s="363" t="s">
        <v>56</v>
      </c>
      <c r="H153" s="64">
        <v>0.1062</v>
      </c>
      <c r="I153" s="363" t="s">
        <v>271</v>
      </c>
      <c r="J153" s="355">
        <f>H153-L153</f>
        <v>3.1400000000000011E-2</v>
      </c>
      <c r="K153" s="363" t="s">
        <v>272</v>
      </c>
      <c r="L153" s="64">
        <v>7.4799999999999991E-2</v>
      </c>
      <c r="M153" s="363" t="s">
        <v>57</v>
      </c>
      <c r="N153" s="65">
        <v>49</v>
      </c>
      <c r="O153" s="363" t="s">
        <v>59</v>
      </c>
      <c r="P153" s="65">
        <v>49</v>
      </c>
      <c r="Q153" s="363" t="s">
        <v>60</v>
      </c>
      <c r="R153" s="65">
        <v>98</v>
      </c>
      <c r="S153" s="363" t="s">
        <v>61</v>
      </c>
      <c r="T153" s="65">
        <v>29</v>
      </c>
      <c r="U153" s="363" t="s">
        <v>54</v>
      </c>
      <c r="V153" s="66" t="s">
        <v>400</v>
      </c>
      <c r="W153" s="463" t="s">
        <v>394</v>
      </c>
      <c r="X153" s="465">
        <v>0.45</v>
      </c>
      <c r="Y153" s="463" t="s">
        <v>393</v>
      </c>
      <c r="Z153" s="358">
        <v>14</v>
      </c>
    </row>
    <row r="154" spans="1:26" x14ac:dyDescent="0.2">
      <c r="A154" s="362" t="s">
        <v>33</v>
      </c>
      <c r="B154" s="370">
        <v>0</v>
      </c>
      <c r="C154" s="371">
        <v>1.2999999999999999E-2</v>
      </c>
      <c r="D154" s="371">
        <v>1.7000000000000001E-2</v>
      </c>
      <c r="E154" s="371">
        <v>0.04</v>
      </c>
      <c r="F154" s="371">
        <v>0.125</v>
      </c>
      <c r="G154" s="371">
        <v>0.17899999999999999</v>
      </c>
      <c r="H154" s="371">
        <v>0.222</v>
      </c>
      <c r="I154" s="371">
        <v>0.28899999999999998</v>
      </c>
      <c r="J154" s="371">
        <v>0.35399999999999998</v>
      </c>
      <c r="K154" s="371">
        <v>0.39400000000000002</v>
      </c>
      <c r="L154" s="371">
        <v>0.40600000000000003</v>
      </c>
      <c r="M154" s="371">
        <v>0.41599999999999998</v>
      </c>
      <c r="N154" s="371">
        <v>0.42299999999999999</v>
      </c>
      <c r="O154" s="371">
        <v>0.43099999999999999</v>
      </c>
      <c r="P154" s="371">
        <v>0.44700000000000001</v>
      </c>
      <c r="Q154" s="371">
        <v>0.45300000000000001</v>
      </c>
      <c r="R154" s="371">
        <v>0.45500000000000002</v>
      </c>
      <c r="S154" s="371">
        <v>0.45500000000000002</v>
      </c>
      <c r="T154" s="371">
        <v>0.45500000000000002</v>
      </c>
      <c r="U154" s="371">
        <v>0.45500000000000002</v>
      </c>
      <c r="V154" s="371">
        <v>0.45500000000000002</v>
      </c>
      <c r="W154" s="371">
        <v>0.45500000000000002</v>
      </c>
      <c r="X154" s="371">
        <v>2</v>
      </c>
      <c r="Y154" s="381">
        <v>1000</v>
      </c>
    </row>
    <row r="155" spans="1:26" x14ac:dyDescent="0.2">
      <c r="A155" s="378" t="s">
        <v>34</v>
      </c>
      <c r="B155" s="372">
        <v>0</v>
      </c>
      <c r="C155" s="373">
        <v>79.242000000000004</v>
      </c>
      <c r="D155" s="373">
        <v>90.427000000000007</v>
      </c>
      <c r="E155" s="373">
        <v>101.422</v>
      </c>
      <c r="F155" s="373">
        <v>127.583</v>
      </c>
      <c r="G155" s="373">
        <v>136.114</v>
      </c>
      <c r="H155" s="373">
        <v>139.905</v>
      </c>
      <c r="I155" s="373">
        <v>143.50700000000001</v>
      </c>
      <c r="J155" s="373">
        <v>138.578</v>
      </c>
      <c r="K155" s="373">
        <v>125.498</v>
      </c>
      <c r="L155" s="373">
        <v>123.602</v>
      </c>
      <c r="M155" s="373">
        <v>125.11799999999999</v>
      </c>
      <c r="N155" s="373">
        <v>130.047</v>
      </c>
      <c r="O155" s="373">
        <v>120.569</v>
      </c>
      <c r="P155" s="373">
        <v>25.591999999999999</v>
      </c>
      <c r="Q155" s="373">
        <v>8.7200000000000006</v>
      </c>
      <c r="R155" s="373">
        <v>0</v>
      </c>
      <c r="S155" s="373">
        <v>0</v>
      </c>
      <c r="T155" s="373">
        <v>0</v>
      </c>
      <c r="U155" s="373">
        <v>0</v>
      </c>
      <c r="V155" s="373">
        <v>0</v>
      </c>
      <c r="W155" s="373">
        <v>0</v>
      </c>
      <c r="X155" s="373">
        <v>0</v>
      </c>
      <c r="Y155" s="382">
        <v>0</v>
      </c>
    </row>
    <row r="156" spans="1:26" ht="13.5" thickBot="1" x14ac:dyDescent="0.25">
      <c r="A156" s="379" t="s">
        <v>116</v>
      </c>
      <c r="B156" s="374">
        <f t="shared" ref="B156:X156" si="56">(C155+B155)*(C154-B154)/2</f>
        <v>0.515073</v>
      </c>
      <c r="C156" s="375">
        <f t="shared" si="56"/>
        <v>0.3393380000000002</v>
      </c>
      <c r="D156" s="375">
        <f t="shared" si="56"/>
        <v>2.2062634999999999</v>
      </c>
      <c r="E156" s="375">
        <f t="shared" si="56"/>
        <v>9.7327124999999981</v>
      </c>
      <c r="F156" s="375">
        <f t="shared" si="56"/>
        <v>7.1198189999999988</v>
      </c>
      <c r="G156" s="375">
        <f t="shared" si="56"/>
        <v>5.9344085000000018</v>
      </c>
      <c r="H156" s="375">
        <f t="shared" si="56"/>
        <v>9.4943019999999976</v>
      </c>
      <c r="I156" s="375">
        <f t="shared" si="56"/>
        <v>9.167762500000002</v>
      </c>
      <c r="J156" s="375">
        <f t="shared" si="56"/>
        <v>5.2815200000000049</v>
      </c>
      <c r="K156" s="375">
        <f t="shared" si="56"/>
        <v>1.4946000000000015</v>
      </c>
      <c r="L156" s="375">
        <f t="shared" si="56"/>
        <v>1.2435999999999943</v>
      </c>
      <c r="M156" s="375">
        <f t="shared" si="56"/>
        <v>0.89307750000000075</v>
      </c>
      <c r="N156" s="375">
        <f t="shared" si="56"/>
        <v>1.0024640000000009</v>
      </c>
      <c r="O156" s="375">
        <f t="shared" si="56"/>
        <v>1.169288000000001</v>
      </c>
      <c r="P156" s="375">
        <f t="shared" si="56"/>
        <v>0.10293600000000008</v>
      </c>
      <c r="Q156" s="375">
        <f t="shared" si="56"/>
        <v>8.720000000000009E-3</v>
      </c>
      <c r="R156" s="375">
        <f t="shared" si="56"/>
        <v>0</v>
      </c>
      <c r="S156" s="375">
        <f t="shared" si="56"/>
        <v>0</v>
      </c>
      <c r="T156" s="375">
        <f t="shared" si="56"/>
        <v>0</v>
      </c>
      <c r="U156" s="375">
        <f t="shared" si="56"/>
        <v>0</v>
      </c>
      <c r="V156" s="375">
        <f t="shared" si="56"/>
        <v>0</v>
      </c>
      <c r="W156" s="375">
        <f t="shared" si="56"/>
        <v>0</v>
      </c>
      <c r="X156" s="375">
        <f t="shared" si="56"/>
        <v>0</v>
      </c>
      <c r="Y156" s="369"/>
    </row>
    <row r="157" spans="1:26" ht="13.5" thickBot="1" x14ac:dyDescent="0.2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6" ht="13.5" thickBot="1" x14ac:dyDescent="0.25">
      <c r="A158" s="361" t="s">
        <v>385</v>
      </c>
      <c r="B158" s="359">
        <f>ROW(A158)</f>
        <v>158</v>
      </c>
      <c r="C158" s="363" t="s">
        <v>115</v>
      </c>
      <c r="D158" s="353">
        <f>SUM(B161:Y161)</f>
        <v>57.190000000000005</v>
      </c>
      <c r="E158" s="363" t="s">
        <v>114</v>
      </c>
      <c r="F158" s="354">
        <f>D158/g/J158</f>
        <v>188.05695307618953</v>
      </c>
      <c r="G158" s="363" t="s">
        <v>56</v>
      </c>
      <c r="H158" s="64">
        <v>9.9000000000000005E-2</v>
      </c>
      <c r="I158" s="363" t="s">
        <v>271</v>
      </c>
      <c r="J158" s="355">
        <f>H158-L158</f>
        <v>3.1E-2</v>
      </c>
      <c r="K158" s="363" t="s">
        <v>272</v>
      </c>
      <c r="L158" s="64">
        <v>6.8000000000000005E-2</v>
      </c>
      <c r="M158" s="363" t="s">
        <v>57</v>
      </c>
      <c r="N158" s="65">
        <v>49</v>
      </c>
      <c r="O158" s="363" t="s">
        <v>59</v>
      </c>
      <c r="P158" s="65">
        <v>49</v>
      </c>
      <c r="Q158" s="363" t="s">
        <v>60</v>
      </c>
      <c r="R158" s="65">
        <v>98</v>
      </c>
      <c r="S158" s="363" t="s">
        <v>61</v>
      </c>
      <c r="T158" s="65">
        <v>29</v>
      </c>
      <c r="U158" s="363" t="s">
        <v>54</v>
      </c>
      <c r="V158" s="66" t="s">
        <v>400</v>
      </c>
      <c r="W158" s="463" t="s">
        <v>394</v>
      </c>
      <c r="X158" s="465">
        <v>0.96</v>
      </c>
      <c r="Y158" s="463" t="s">
        <v>393</v>
      </c>
      <c r="Z158" s="358">
        <v>12</v>
      </c>
    </row>
    <row r="159" spans="1:26" x14ac:dyDescent="0.2">
      <c r="A159" s="362" t="s">
        <v>33</v>
      </c>
      <c r="B159" s="370">
        <v>0</v>
      </c>
      <c r="C159" s="371">
        <v>0.01</v>
      </c>
      <c r="D159" s="371">
        <v>0.02</v>
      </c>
      <c r="E159" s="371">
        <v>0.03</v>
      </c>
      <c r="F159" s="371">
        <v>0.04</v>
      </c>
      <c r="G159" s="371">
        <v>7.0000000000000007E-2</v>
      </c>
      <c r="H159" s="371">
        <v>0.1</v>
      </c>
      <c r="I159" s="371">
        <v>0.2</v>
      </c>
      <c r="J159" s="371">
        <v>0.3</v>
      </c>
      <c r="K159" s="371">
        <v>0.4</v>
      </c>
      <c r="L159" s="371">
        <v>0.5</v>
      </c>
      <c r="M159" s="371">
        <v>0.6</v>
      </c>
      <c r="N159" s="371">
        <v>0.7</v>
      </c>
      <c r="O159" s="371">
        <v>0.87</v>
      </c>
      <c r="P159" s="371">
        <v>0.9</v>
      </c>
      <c r="Q159" s="371">
        <v>0.97</v>
      </c>
      <c r="R159" s="371">
        <v>0.97</v>
      </c>
      <c r="S159" s="371">
        <v>0.97</v>
      </c>
      <c r="T159" s="371">
        <v>0.97</v>
      </c>
      <c r="U159" s="371">
        <v>0.97</v>
      </c>
      <c r="V159" s="371">
        <v>0.97</v>
      </c>
      <c r="W159" s="371">
        <v>0.97</v>
      </c>
      <c r="X159" s="371">
        <v>2</v>
      </c>
      <c r="Y159" s="381">
        <v>1000</v>
      </c>
    </row>
    <row r="160" spans="1:26" x14ac:dyDescent="0.2">
      <c r="A160" s="378" t="s">
        <v>34</v>
      </c>
      <c r="B160" s="372">
        <v>0</v>
      </c>
      <c r="C160" s="373">
        <v>16</v>
      </c>
      <c r="D160" s="373">
        <v>62</v>
      </c>
      <c r="E160" s="373">
        <v>67</v>
      </c>
      <c r="F160" s="373">
        <v>71</v>
      </c>
      <c r="G160" s="373">
        <v>58</v>
      </c>
      <c r="H160" s="373">
        <v>63</v>
      </c>
      <c r="I160" s="373">
        <v>67</v>
      </c>
      <c r="J160" s="373">
        <v>69</v>
      </c>
      <c r="K160" s="373">
        <v>67</v>
      </c>
      <c r="L160" s="373">
        <v>65</v>
      </c>
      <c r="M160" s="373">
        <v>63</v>
      </c>
      <c r="N160" s="373">
        <v>61</v>
      </c>
      <c r="O160" s="373">
        <v>60</v>
      </c>
      <c r="P160" s="373">
        <v>23</v>
      </c>
      <c r="Q160" s="373">
        <v>0</v>
      </c>
      <c r="R160" s="373">
        <v>0</v>
      </c>
      <c r="S160" s="373">
        <v>0</v>
      </c>
      <c r="T160" s="373">
        <v>0</v>
      </c>
      <c r="U160" s="373">
        <v>0</v>
      </c>
      <c r="V160" s="373">
        <v>0</v>
      </c>
      <c r="W160" s="373">
        <v>0</v>
      </c>
      <c r="X160" s="373">
        <v>0</v>
      </c>
      <c r="Y160" s="382">
        <v>0</v>
      </c>
    </row>
    <row r="161" spans="1:26" ht="13.5" thickBot="1" x14ac:dyDescent="0.25">
      <c r="A161" s="379" t="s">
        <v>116</v>
      </c>
      <c r="B161" s="374">
        <f t="shared" ref="B161:X161" si="57">(C160+B160)*(C159-B159)/2</f>
        <v>0.08</v>
      </c>
      <c r="C161" s="375">
        <f t="shared" si="57"/>
        <v>0.39</v>
      </c>
      <c r="D161" s="375">
        <f t="shared" si="57"/>
        <v>0.64499999999999991</v>
      </c>
      <c r="E161" s="375">
        <f t="shared" si="57"/>
        <v>0.69000000000000017</v>
      </c>
      <c r="F161" s="375">
        <f t="shared" si="57"/>
        <v>1.9350000000000003</v>
      </c>
      <c r="G161" s="375">
        <f t="shared" si="57"/>
        <v>1.8149999999999999</v>
      </c>
      <c r="H161" s="375">
        <f t="shared" si="57"/>
        <v>6.5</v>
      </c>
      <c r="I161" s="375">
        <f t="shared" si="57"/>
        <v>6.7999999999999989</v>
      </c>
      <c r="J161" s="375">
        <f t="shared" si="57"/>
        <v>6.8000000000000025</v>
      </c>
      <c r="K161" s="375">
        <f t="shared" si="57"/>
        <v>6.5999999999999988</v>
      </c>
      <c r="L161" s="375">
        <f t="shared" si="57"/>
        <v>6.3999999999999986</v>
      </c>
      <c r="M161" s="375">
        <f t="shared" si="57"/>
        <v>6.1999999999999984</v>
      </c>
      <c r="N161" s="375">
        <f t="shared" si="57"/>
        <v>10.285000000000002</v>
      </c>
      <c r="O161" s="375">
        <f t="shared" si="57"/>
        <v>1.245000000000001</v>
      </c>
      <c r="P161" s="375">
        <f t="shared" si="57"/>
        <v>0.80499999999999949</v>
      </c>
      <c r="Q161" s="375">
        <f t="shared" si="57"/>
        <v>0</v>
      </c>
      <c r="R161" s="375">
        <f t="shared" si="57"/>
        <v>0</v>
      </c>
      <c r="S161" s="375">
        <f t="shared" si="57"/>
        <v>0</v>
      </c>
      <c r="T161" s="375">
        <f t="shared" si="57"/>
        <v>0</v>
      </c>
      <c r="U161" s="375">
        <f t="shared" si="57"/>
        <v>0</v>
      </c>
      <c r="V161" s="375">
        <f t="shared" si="57"/>
        <v>0</v>
      </c>
      <c r="W161" s="375">
        <f t="shared" si="57"/>
        <v>0</v>
      </c>
      <c r="X161" s="375">
        <f t="shared" si="57"/>
        <v>0</v>
      </c>
      <c r="Y161" s="369"/>
    </row>
    <row r="162" spans="1:26" ht="13.5" thickBot="1" x14ac:dyDescent="0.25">
      <c r="A162" s="6" t="s">
        <v>315</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6" ht="13.5" thickBot="1" x14ac:dyDescent="0.25">
      <c r="A163" s="361" t="s">
        <v>321</v>
      </c>
      <c r="B163" s="359">
        <f>ROW(A163)</f>
        <v>163</v>
      </c>
      <c r="C163" s="363" t="s">
        <v>115</v>
      </c>
      <c r="D163" s="353">
        <f>SUM(B166:Y166)</f>
        <v>59.702267000000006</v>
      </c>
      <c r="E163" s="363" t="s">
        <v>114</v>
      </c>
      <c r="F163" s="354">
        <f>D163/g/J163</f>
        <v>190.77924771281306</v>
      </c>
      <c r="G163" s="363" t="s">
        <v>56</v>
      </c>
      <c r="H163" s="64">
        <v>9.3899999999999997E-2</v>
      </c>
      <c r="I163" s="363" t="s">
        <v>271</v>
      </c>
      <c r="J163" s="355">
        <f>H163-L163</f>
        <v>3.1899999999999998E-2</v>
      </c>
      <c r="K163" s="363" t="s">
        <v>272</v>
      </c>
      <c r="L163" s="64">
        <f>0.095-0.033</f>
        <v>6.2E-2</v>
      </c>
      <c r="M163" s="363" t="s">
        <v>57</v>
      </c>
      <c r="N163" s="396">
        <v>66.5</v>
      </c>
      <c r="O163" s="363" t="s">
        <v>59</v>
      </c>
      <c r="P163" s="396">
        <v>66.5</v>
      </c>
      <c r="Q163" s="363" t="s">
        <v>60</v>
      </c>
      <c r="R163" s="65">
        <v>133</v>
      </c>
      <c r="S163" s="363" t="s">
        <v>61</v>
      </c>
      <c r="T163" s="65">
        <v>24</v>
      </c>
      <c r="U163" s="363" t="s">
        <v>54</v>
      </c>
      <c r="V163" s="66" t="s">
        <v>399</v>
      </c>
      <c r="W163" s="463" t="s">
        <v>394</v>
      </c>
      <c r="X163" s="465">
        <v>1.2</v>
      </c>
      <c r="Y163" s="463" t="s">
        <v>393</v>
      </c>
      <c r="Z163" s="358">
        <v>13</v>
      </c>
    </row>
    <row r="164" spans="1:26" x14ac:dyDescent="0.2">
      <c r="A164" s="362" t="s">
        <v>33</v>
      </c>
      <c r="B164" s="370">
        <v>0</v>
      </c>
      <c r="C164" s="371">
        <v>1.4999999999999999E-2</v>
      </c>
      <c r="D164" s="371">
        <v>2.1999999999999999E-2</v>
      </c>
      <c r="E164" s="371">
        <v>6.4000000000000001E-2</v>
      </c>
      <c r="F164" s="371">
        <v>0.11799999999999999</v>
      </c>
      <c r="G164" s="371">
        <v>0.34200000000000003</v>
      </c>
      <c r="H164" s="371">
        <v>0.53600000000000003</v>
      </c>
      <c r="I164" s="371">
        <v>0.74299999999999999</v>
      </c>
      <c r="J164" s="371">
        <v>0.88400000000000001</v>
      </c>
      <c r="K164" s="371">
        <v>0.97599999999999998</v>
      </c>
      <c r="L164" s="371">
        <v>1.0960000000000001</v>
      </c>
      <c r="M164" s="371">
        <v>1.246</v>
      </c>
      <c r="N164" s="371">
        <v>1.298</v>
      </c>
      <c r="O164" s="371">
        <v>2</v>
      </c>
      <c r="P164" s="371">
        <v>2</v>
      </c>
      <c r="Q164" s="371">
        <v>2</v>
      </c>
      <c r="R164" s="371">
        <v>2</v>
      </c>
      <c r="S164" s="371">
        <v>2</v>
      </c>
      <c r="T164" s="371">
        <v>2</v>
      </c>
      <c r="U164" s="371">
        <v>2</v>
      </c>
      <c r="V164" s="371">
        <v>2</v>
      </c>
      <c r="W164" s="371">
        <v>2</v>
      </c>
      <c r="X164" s="371">
        <f t="shared" ref="T164:X165" si="58">W164</f>
        <v>2</v>
      </c>
      <c r="Y164" s="381">
        <v>1000</v>
      </c>
    </row>
    <row r="165" spans="1:26" x14ac:dyDescent="0.2">
      <c r="A165" s="378" t="s">
        <v>34</v>
      </c>
      <c r="B165" s="372">
        <v>0</v>
      </c>
      <c r="C165" s="373">
        <v>64.981999999999999</v>
      </c>
      <c r="D165" s="373">
        <v>69.516000000000005</v>
      </c>
      <c r="E165" s="373">
        <v>55.536999999999999</v>
      </c>
      <c r="F165" s="373">
        <v>62.81</v>
      </c>
      <c r="G165" s="373">
        <v>62.149000000000001</v>
      </c>
      <c r="H165" s="373">
        <v>59.41</v>
      </c>
      <c r="I165" s="373">
        <v>53.837000000000003</v>
      </c>
      <c r="J165" s="373">
        <v>46.942</v>
      </c>
      <c r="K165" s="373">
        <v>40.046999999999997</v>
      </c>
      <c r="L165" s="373">
        <v>12.561999999999999</v>
      </c>
      <c r="M165" s="373">
        <v>2.0779999999999998</v>
      </c>
      <c r="N165" s="373">
        <v>0</v>
      </c>
      <c r="O165" s="373">
        <v>0</v>
      </c>
      <c r="P165" s="373">
        <v>0</v>
      </c>
      <c r="Q165" s="373">
        <v>0</v>
      </c>
      <c r="R165" s="373">
        <v>0</v>
      </c>
      <c r="S165" s="373">
        <v>0</v>
      </c>
      <c r="T165" s="373">
        <f t="shared" si="58"/>
        <v>0</v>
      </c>
      <c r="U165" s="373">
        <f t="shared" si="58"/>
        <v>0</v>
      </c>
      <c r="V165" s="373">
        <f t="shared" si="58"/>
        <v>0</v>
      </c>
      <c r="W165" s="373">
        <f t="shared" si="58"/>
        <v>0</v>
      </c>
      <c r="X165" s="373">
        <f t="shared" si="58"/>
        <v>0</v>
      </c>
      <c r="Y165" s="382">
        <v>0</v>
      </c>
    </row>
    <row r="166" spans="1:26" ht="13.5" thickBot="1" x14ac:dyDescent="0.25">
      <c r="A166" s="379" t="s">
        <v>116</v>
      </c>
      <c r="B166" s="374">
        <f t="shared" ref="B166:V166" si="59">(C165+B165)*(C164-B164)/2</f>
        <v>0.48736499999999999</v>
      </c>
      <c r="C166" s="375">
        <f t="shared" si="59"/>
        <v>0.47074299999999991</v>
      </c>
      <c r="D166" s="375">
        <f t="shared" si="59"/>
        <v>2.6261130000000001</v>
      </c>
      <c r="E166" s="375">
        <f t="shared" si="59"/>
        <v>3.1953689999999999</v>
      </c>
      <c r="F166" s="375">
        <f t="shared" si="59"/>
        <v>13.995408000000003</v>
      </c>
      <c r="G166" s="375">
        <f t="shared" si="59"/>
        <v>11.791223</v>
      </c>
      <c r="H166" s="375">
        <f t="shared" si="59"/>
        <v>11.721064499999997</v>
      </c>
      <c r="I166" s="375">
        <f t="shared" si="59"/>
        <v>7.1049195000000003</v>
      </c>
      <c r="J166" s="375">
        <f>(K165+J165)*(K164-J164)/2</f>
        <v>4.0014939999999992</v>
      </c>
      <c r="K166" s="375">
        <f t="shared" si="59"/>
        <v>3.1565400000000023</v>
      </c>
      <c r="L166" s="375">
        <f t="shared" si="59"/>
        <v>1.0979999999999992</v>
      </c>
      <c r="M166" s="375">
        <f t="shared" si="59"/>
        <v>5.4028000000000041E-2</v>
      </c>
      <c r="N166" s="375">
        <f t="shared" si="59"/>
        <v>0</v>
      </c>
      <c r="O166" s="375">
        <f t="shared" si="59"/>
        <v>0</v>
      </c>
      <c r="P166" s="375">
        <f t="shared" si="59"/>
        <v>0</v>
      </c>
      <c r="Q166" s="375">
        <f t="shared" si="59"/>
        <v>0</v>
      </c>
      <c r="R166" s="375">
        <f t="shared" si="59"/>
        <v>0</v>
      </c>
      <c r="S166" s="375">
        <f>(T165+S165)*(T164-S164)/2</f>
        <v>0</v>
      </c>
      <c r="T166" s="375">
        <f t="shared" si="59"/>
        <v>0</v>
      </c>
      <c r="U166" s="375">
        <f t="shared" si="59"/>
        <v>0</v>
      </c>
      <c r="V166" s="375">
        <f t="shared" si="59"/>
        <v>0</v>
      </c>
      <c r="W166" s="375">
        <f>(X165+W165)*(X164-W164)/2</f>
        <v>0</v>
      </c>
      <c r="X166" s="375">
        <f>(Y165+X165)*(Y164-X164)/2</f>
        <v>0</v>
      </c>
      <c r="Y166" s="369"/>
    </row>
    <row r="167" spans="1:26" ht="13.5" thickBot="1" x14ac:dyDescent="0.25"/>
    <row r="168" spans="1:26" ht="13.5" thickBot="1" x14ac:dyDescent="0.25">
      <c r="A168" s="361" t="s">
        <v>322</v>
      </c>
      <c r="B168" s="359">
        <f>ROW(A168)</f>
        <v>168</v>
      </c>
      <c r="C168" s="363" t="s">
        <v>115</v>
      </c>
      <c r="D168" s="353">
        <f>SUM(B171:Y171)</f>
        <v>68.380602999999994</v>
      </c>
      <c r="E168" s="363" t="s">
        <v>114</v>
      </c>
      <c r="F168" s="354">
        <f>D168/g/J168</f>
        <v>134.04807300243078</v>
      </c>
      <c r="G168" s="363" t="s">
        <v>56</v>
      </c>
      <c r="H168" s="64">
        <v>0.1075</v>
      </c>
      <c r="I168" s="363" t="s">
        <v>271</v>
      </c>
      <c r="J168" s="355">
        <f>H168-L168</f>
        <v>5.1999999999999998E-2</v>
      </c>
      <c r="K168" s="363" t="s">
        <v>272</v>
      </c>
      <c r="L168" s="64">
        <v>5.5500000000000001E-2</v>
      </c>
      <c r="M168" s="363" t="s">
        <v>57</v>
      </c>
      <c r="N168" s="396">
        <v>66.5</v>
      </c>
      <c r="O168" s="363" t="s">
        <v>59</v>
      </c>
      <c r="P168" s="396">
        <v>66.5</v>
      </c>
      <c r="Q168" s="363" t="s">
        <v>60</v>
      </c>
      <c r="R168" s="65">
        <v>133</v>
      </c>
      <c r="S168" s="363" t="s">
        <v>61</v>
      </c>
      <c r="T168" s="65">
        <v>24</v>
      </c>
      <c r="U168" s="363" t="s">
        <v>54</v>
      </c>
      <c r="V168" s="66" t="s">
        <v>399</v>
      </c>
      <c r="W168" s="463" t="s">
        <v>394</v>
      </c>
      <c r="X168" s="465">
        <v>0.86</v>
      </c>
      <c r="Y168" s="463" t="s">
        <v>393</v>
      </c>
      <c r="Z168" s="358">
        <v>13</v>
      </c>
    </row>
    <row r="169" spans="1:26" x14ac:dyDescent="0.2">
      <c r="A169" s="362" t="s">
        <v>33</v>
      </c>
      <c r="B169" s="370">
        <v>0</v>
      </c>
      <c r="C169" s="371">
        <v>5.0000000000000001E-3</v>
      </c>
      <c r="D169" s="371">
        <v>1.2999999999999999E-2</v>
      </c>
      <c r="E169" s="371">
        <v>2.1999999999999999E-2</v>
      </c>
      <c r="F169" s="371">
        <v>4.2999999999999997E-2</v>
      </c>
      <c r="G169" s="371">
        <v>0.11899999999999999</v>
      </c>
      <c r="H169" s="371">
        <v>0.19800000000000001</v>
      </c>
      <c r="I169" s="371">
        <v>0.26700000000000002</v>
      </c>
      <c r="J169" s="371">
        <v>0.34300000000000003</v>
      </c>
      <c r="K169" s="371">
        <v>0.40400000000000003</v>
      </c>
      <c r="L169" s="371">
        <v>0.498</v>
      </c>
      <c r="M169" s="371">
        <v>0.55500000000000005</v>
      </c>
      <c r="N169" s="371">
        <v>0.622</v>
      </c>
      <c r="O169" s="371">
        <v>0.66300000000000003</v>
      </c>
      <c r="P169" s="371">
        <v>0.70399999999999996</v>
      </c>
      <c r="Q169" s="371">
        <v>0.72899999999999998</v>
      </c>
      <c r="R169" s="371">
        <v>0.747</v>
      </c>
      <c r="S169" s="371">
        <v>0.76800000000000002</v>
      </c>
      <c r="T169" s="371">
        <v>0.82099999999999995</v>
      </c>
      <c r="U169" s="371">
        <v>0.85199999999999998</v>
      </c>
      <c r="V169" s="371">
        <v>0.89200000000000002</v>
      </c>
      <c r="W169" s="371">
        <v>1</v>
      </c>
      <c r="X169" s="371">
        <v>2</v>
      </c>
      <c r="Y169" s="381">
        <v>1000</v>
      </c>
    </row>
    <row r="170" spans="1:26" x14ac:dyDescent="0.2">
      <c r="A170" s="378" t="s">
        <v>34</v>
      </c>
      <c r="B170" s="372">
        <v>0</v>
      </c>
      <c r="C170" s="373">
        <v>60</v>
      </c>
      <c r="D170" s="373">
        <v>89.007000000000005</v>
      </c>
      <c r="E170" s="373">
        <v>96.290999999999997</v>
      </c>
      <c r="F170" s="373">
        <v>81.721999999999994</v>
      </c>
      <c r="G170" s="373">
        <v>85.563000000000002</v>
      </c>
      <c r="H170" s="373">
        <v>87.947000000000003</v>
      </c>
      <c r="I170" s="373">
        <v>89.272000000000006</v>
      </c>
      <c r="J170" s="373">
        <v>89.933999999999997</v>
      </c>
      <c r="K170" s="373">
        <v>90.861000000000004</v>
      </c>
      <c r="L170" s="373">
        <v>91.522999999999996</v>
      </c>
      <c r="M170" s="373">
        <v>89.668999999999997</v>
      </c>
      <c r="N170" s="373">
        <v>83.974000000000004</v>
      </c>
      <c r="O170" s="373">
        <v>80.53</v>
      </c>
      <c r="P170" s="373">
        <v>78.94</v>
      </c>
      <c r="Q170" s="373">
        <v>74.171999999999997</v>
      </c>
      <c r="R170" s="373">
        <v>66.887</v>
      </c>
      <c r="S170" s="373">
        <v>53.774999999999999</v>
      </c>
      <c r="T170" s="373">
        <v>18.542999999999999</v>
      </c>
      <c r="U170" s="373">
        <v>7.8150000000000004</v>
      </c>
      <c r="V170" s="373">
        <v>2.1190000000000002</v>
      </c>
      <c r="W170" s="373">
        <v>0</v>
      </c>
      <c r="X170" s="373">
        <v>0</v>
      </c>
      <c r="Y170" s="382">
        <v>0</v>
      </c>
    </row>
    <row r="171" spans="1:26" ht="13.5" thickBot="1" x14ac:dyDescent="0.25">
      <c r="A171" s="379" t="s">
        <v>116</v>
      </c>
      <c r="B171" s="374">
        <f t="shared" ref="B171:X171" si="60">(C170+B170)*(C169-B169)/2</f>
        <v>0.15</v>
      </c>
      <c r="C171" s="375">
        <f t="shared" si="60"/>
        <v>0.596028</v>
      </c>
      <c r="D171" s="375">
        <f t="shared" si="60"/>
        <v>0.83384099999999994</v>
      </c>
      <c r="E171" s="375">
        <f t="shared" si="60"/>
        <v>1.8691364999999995</v>
      </c>
      <c r="F171" s="375">
        <f t="shared" si="60"/>
        <v>6.3568299999999995</v>
      </c>
      <c r="G171" s="375">
        <f t="shared" si="60"/>
        <v>6.8536450000000011</v>
      </c>
      <c r="H171" s="375">
        <f t="shared" si="60"/>
        <v>6.1140555000000001</v>
      </c>
      <c r="I171" s="375">
        <f t="shared" si="60"/>
        <v>6.8098280000000013</v>
      </c>
      <c r="J171" s="375">
        <f t="shared" si="60"/>
        <v>5.5142475000000006</v>
      </c>
      <c r="K171" s="375">
        <f t="shared" si="60"/>
        <v>8.5720479999999988</v>
      </c>
      <c r="L171" s="375">
        <f t="shared" si="60"/>
        <v>5.1639720000000047</v>
      </c>
      <c r="M171" s="375">
        <f t="shared" si="60"/>
        <v>5.8170404999999956</v>
      </c>
      <c r="N171" s="375">
        <f t="shared" si="60"/>
        <v>3.3723320000000032</v>
      </c>
      <c r="O171" s="375">
        <f t="shared" si="60"/>
        <v>3.2691349999999941</v>
      </c>
      <c r="P171" s="375">
        <f t="shared" si="60"/>
        <v>1.9139000000000017</v>
      </c>
      <c r="Q171" s="375">
        <f t="shared" si="60"/>
        <v>1.2695310000000011</v>
      </c>
      <c r="R171" s="375">
        <f t="shared" si="60"/>
        <v>1.2669510000000013</v>
      </c>
      <c r="S171" s="375">
        <f t="shared" si="60"/>
        <v>1.9164269999999977</v>
      </c>
      <c r="T171" s="375">
        <f t="shared" si="60"/>
        <v>0.40854900000000038</v>
      </c>
      <c r="U171" s="375">
        <f t="shared" si="60"/>
        <v>0.19868000000000019</v>
      </c>
      <c r="V171" s="375">
        <f t="shared" si="60"/>
        <v>0.114426</v>
      </c>
      <c r="W171" s="375">
        <f t="shared" si="60"/>
        <v>0</v>
      </c>
      <c r="X171" s="375">
        <f t="shared" si="60"/>
        <v>0</v>
      </c>
      <c r="Y171" s="369"/>
    </row>
    <row r="172" spans="1:26" ht="13.5" thickBot="1" x14ac:dyDescent="0.2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6" ht="13.5" thickBot="1" x14ac:dyDescent="0.25">
      <c r="A173" s="361" t="s">
        <v>323</v>
      </c>
      <c r="B173" s="359">
        <f>ROW(A173)</f>
        <v>173</v>
      </c>
      <c r="C173" s="363" t="s">
        <v>115</v>
      </c>
      <c r="D173" s="353">
        <f>SUM(B176:Y176)</f>
        <v>67.985428500000012</v>
      </c>
      <c r="E173" s="363" t="s">
        <v>114</v>
      </c>
      <c r="F173" s="354">
        <f>D173/g/J173</f>
        <v>181.89545859519862</v>
      </c>
      <c r="G173" s="363" t="s">
        <v>56</v>
      </c>
      <c r="H173" s="64">
        <v>9.1799999999999993E-2</v>
      </c>
      <c r="I173" s="363" t="s">
        <v>271</v>
      </c>
      <c r="J173" s="355">
        <f>H173-L173</f>
        <v>3.8099999999999988E-2</v>
      </c>
      <c r="K173" s="363" t="s">
        <v>272</v>
      </c>
      <c r="L173" s="64">
        <v>5.3700000000000005E-2</v>
      </c>
      <c r="M173" s="363" t="s">
        <v>57</v>
      </c>
      <c r="N173" s="396">
        <v>66.5</v>
      </c>
      <c r="O173" s="363" t="s">
        <v>59</v>
      </c>
      <c r="P173" s="396">
        <v>66.5</v>
      </c>
      <c r="Q173" s="363" t="s">
        <v>60</v>
      </c>
      <c r="R173" s="65">
        <v>133</v>
      </c>
      <c r="S173" s="363" t="s">
        <v>61</v>
      </c>
      <c r="T173" s="65">
        <v>24</v>
      </c>
      <c r="U173" s="363" t="s">
        <v>54</v>
      </c>
      <c r="V173" s="66" t="s">
        <v>399</v>
      </c>
      <c r="W173" s="463" t="s">
        <v>394</v>
      </c>
      <c r="X173" s="465">
        <v>0.33</v>
      </c>
      <c r="Y173" s="463" t="s">
        <v>393</v>
      </c>
      <c r="Z173" s="358">
        <v>15</v>
      </c>
    </row>
    <row r="174" spans="1:26" x14ac:dyDescent="0.2">
      <c r="A174" s="362" t="s">
        <v>33</v>
      </c>
      <c r="B174" s="370">
        <v>0</v>
      </c>
      <c r="C174" s="371">
        <v>4.0000000000000001E-3</v>
      </c>
      <c r="D174" s="371">
        <v>7.0000000000000001E-3</v>
      </c>
      <c r="E174" s="371">
        <v>0.01</v>
      </c>
      <c r="F174" s="371">
        <v>2.1999999999999999E-2</v>
      </c>
      <c r="G174" s="371">
        <v>2.8000000000000001E-2</v>
      </c>
      <c r="H174" s="371">
        <v>4.1000000000000002E-2</v>
      </c>
      <c r="I174" s="371">
        <v>5.8000000000000003E-2</v>
      </c>
      <c r="J174" s="371">
        <v>7.6999999999999999E-2</v>
      </c>
      <c r="K174" s="371">
        <v>8.8999999999999996E-2</v>
      </c>
      <c r="L174" s="371">
        <v>9.7000000000000003E-2</v>
      </c>
      <c r="M174" s="371">
        <v>0.11899999999999999</v>
      </c>
      <c r="N174" s="371">
        <v>0.14699999999999999</v>
      </c>
      <c r="O174" s="371">
        <v>0.17699999999999999</v>
      </c>
      <c r="P174" s="371">
        <v>0.20699999999999999</v>
      </c>
      <c r="Q174" s="371">
        <v>0.253</v>
      </c>
      <c r="R174" s="371">
        <v>0.25900000000000001</v>
      </c>
      <c r="S174" s="371">
        <v>0.27200000000000002</v>
      </c>
      <c r="T174" s="371">
        <v>0.28000000000000003</v>
      </c>
      <c r="U174" s="371">
        <v>0.28599999999999998</v>
      </c>
      <c r="V174" s="371">
        <v>0.29399999999999998</v>
      </c>
      <c r="W174" s="371">
        <v>0.32800000000000001</v>
      </c>
      <c r="X174" s="371">
        <v>2</v>
      </c>
      <c r="Y174" s="381">
        <v>1000</v>
      </c>
    </row>
    <row r="175" spans="1:26" x14ac:dyDescent="0.2">
      <c r="A175" s="378" t="s">
        <v>34</v>
      </c>
      <c r="B175" s="372">
        <v>0</v>
      </c>
      <c r="C175" s="376">
        <v>100.52800000000001</v>
      </c>
      <c r="D175" s="376">
        <v>197.49299999999999</v>
      </c>
      <c r="E175" s="376">
        <v>222.03200000000001</v>
      </c>
      <c r="F175" s="376">
        <v>241.42500000000001</v>
      </c>
      <c r="G175" s="376">
        <v>237.863</v>
      </c>
      <c r="H175" s="376">
        <v>239.446</v>
      </c>
      <c r="I175" s="376">
        <v>252.50700000000001</v>
      </c>
      <c r="J175" s="376">
        <v>263.98399999999998</v>
      </c>
      <c r="K175" s="376">
        <v>275.46199999999999</v>
      </c>
      <c r="L175" s="376">
        <v>271.50400000000002</v>
      </c>
      <c r="M175" s="376">
        <v>278.62799999999999</v>
      </c>
      <c r="N175" s="376">
        <v>281.39800000000002</v>
      </c>
      <c r="O175" s="376">
        <v>272.29599999999999</v>
      </c>
      <c r="P175" s="376">
        <v>258.44299999999998</v>
      </c>
      <c r="Q175" s="376">
        <v>218.47</v>
      </c>
      <c r="R175" s="376">
        <v>188.786</v>
      </c>
      <c r="S175" s="376">
        <v>74.802000000000007</v>
      </c>
      <c r="T175" s="376">
        <v>31.265999999999998</v>
      </c>
      <c r="U175" s="376">
        <v>15.831</v>
      </c>
      <c r="V175" s="376">
        <v>8.7070000000000007</v>
      </c>
      <c r="W175" s="376">
        <v>0</v>
      </c>
      <c r="X175" s="373">
        <v>0</v>
      </c>
      <c r="Y175" s="382">
        <v>0</v>
      </c>
    </row>
    <row r="176" spans="1:26" ht="13.5" thickBot="1" x14ac:dyDescent="0.25">
      <c r="A176" s="379" t="s">
        <v>116</v>
      </c>
      <c r="B176" s="374">
        <f t="shared" ref="B176:X176" si="61">(C175+B175)*(C174-B174)/2</f>
        <v>0.20105600000000001</v>
      </c>
      <c r="C176" s="375">
        <f t="shared" si="61"/>
        <v>0.44703150000000003</v>
      </c>
      <c r="D176" s="375">
        <f t="shared" si="61"/>
        <v>0.6292875</v>
      </c>
      <c r="E176" s="375">
        <f t="shared" si="61"/>
        <v>2.7807419999999996</v>
      </c>
      <c r="F176" s="375">
        <f t="shared" si="61"/>
        <v>1.4378640000000005</v>
      </c>
      <c r="G176" s="375">
        <f t="shared" si="61"/>
        <v>3.1025084999999999</v>
      </c>
      <c r="H176" s="375">
        <f t="shared" si="61"/>
        <v>4.1816005000000001</v>
      </c>
      <c r="I176" s="375">
        <f t="shared" si="61"/>
        <v>4.9066644999999989</v>
      </c>
      <c r="J176" s="375">
        <f t="shared" si="61"/>
        <v>3.2366759999999988</v>
      </c>
      <c r="K176" s="375">
        <f t="shared" si="61"/>
        <v>2.187864000000002</v>
      </c>
      <c r="L176" s="375">
        <f t="shared" si="61"/>
        <v>6.0514519999999985</v>
      </c>
      <c r="M176" s="375">
        <f t="shared" si="61"/>
        <v>7.8403640000000001</v>
      </c>
      <c r="N176" s="375">
        <f t="shared" si="61"/>
        <v>8.3054099999999984</v>
      </c>
      <c r="O176" s="375">
        <f t="shared" si="61"/>
        <v>7.9610850000000006</v>
      </c>
      <c r="P176" s="375">
        <f t="shared" si="61"/>
        <v>10.968999000000004</v>
      </c>
      <c r="Q176" s="375">
        <f t="shared" si="61"/>
        <v>1.2217680000000011</v>
      </c>
      <c r="R176" s="375">
        <f t="shared" si="61"/>
        <v>1.7133220000000016</v>
      </c>
      <c r="S176" s="375">
        <f t="shared" si="61"/>
        <v>0.42427200000000043</v>
      </c>
      <c r="T176" s="375">
        <f t="shared" si="61"/>
        <v>0.14129099999999881</v>
      </c>
      <c r="U176" s="375">
        <f t="shared" si="61"/>
        <v>9.8152000000000086E-2</v>
      </c>
      <c r="V176" s="375">
        <f t="shared" si="61"/>
        <v>0.14801900000000015</v>
      </c>
      <c r="W176" s="375">
        <f t="shared" si="61"/>
        <v>0</v>
      </c>
      <c r="X176" s="375">
        <f t="shared" si="61"/>
        <v>0</v>
      </c>
      <c r="Y176" s="369"/>
    </row>
    <row r="177" spans="1:26" ht="13.5" thickBot="1" x14ac:dyDescent="0.2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6" ht="13.5" thickBot="1" x14ac:dyDescent="0.25">
      <c r="A178" s="361" t="s">
        <v>324</v>
      </c>
      <c r="B178" s="359">
        <f>ROW(A178)</f>
        <v>178</v>
      </c>
      <c r="C178" s="363" t="s">
        <v>115</v>
      </c>
      <c r="D178" s="353">
        <f>SUM(B181:Y181)</f>
        <v>73.557381500000005</v>
      </c>
      <c r="E178" s="363" t="s">
        <v>114</v>
      </c>
      <c r="F178" s="354">
        <f>D178/g/J178</f>
        <v>156.86619302308719</v>
      </c>
      <c r="G178" s="363" t="s">
        <v>56</v>
      </c>
      <c r="H178" s="64">
        <v>0.1022</v>
      </c>
      <c r="I178" s="363" t="s">
        <v>271</v>
      </c>
      <c r="J178" s="355">
        <f>H178-L178</f>
        <v>4.7800000000000002E-2</v>
      </c>
      <c r="K178" s="363" t="s">
        <v>272</v>
      </c>
      <c r="L178" s="64">
        <v>5.4399999999999997E-2</v>
      </c>
      <c r="M178" s="363" t="s">
        <v>57</v>
      </c>
      <c r="N178" s="396">
        <v>66.5</v>
      </c>
      <c r="O178" s="363" t="s">
        <v>59</v>
      </c>
      <c r="P178" s="396">
        <v>66.5</v>
      </c>
      <c r="Q178" s="363" t="s">
        <v>60</v>
      </c>
      <c r="R178" s="65">
        <v>133</v>
      </c>
      <c r="S178" s="363" t="s">
        <v>61</v>
      </c>
      <c r="T178" s="65">
        <v>24</v>
      </c>
      <c r="U178" s="363" t="s">
        <v>54</v>
      </c>
      <c r="V178" s="66" t="s">
        <v>399</v>
      </c>
      <c r="W178" s="463" t="s">
        <v>394</v>
      </c>
      <c r="X178" s="465">
        <v>2.36</v>
      </c>
      <c r="Y178" s="463" t="s">
        <v>393</v>
      </c>
      <c r="Z178" s="358">
        <v>6</v>
      </c>
    </row>
    <row r="179" spans="1:26" x14ac:dyDescent="0.2">
      <c r="A179" s="362" t="s">
        <v>33</v>
      </c>
      <c r="B179" s="370">
        <v>0</v>
      </c>
      <c r="C179" s="371">
        <v>1.4E-2</v>
      </c>
      <c r="D179" s="371">
        <v>5.6000000000000001E-2</v>
      </c>
      <c r="E179" s="371">
        <v>9.1999999999999998E-2</v>
      </c>
      <c r="F179" s="371">
        <v>0.16</v>
      </c>
      <c r="G179" s="371">
        <v>0.23200000000000001</v>
      </c>
      <c r="H179" s="371">
        <v>0.36299999999999999</v>
      </c>
      <c r="I179" s="371">
        <v>0.499</v>
      </c>
      <c r="J179" s="371">
        <v>0.65500000000000003</v>
      </c>
      <c r="K179" s="371">
        <v>0.84299999999999997</v>
      </c>
      <c r="L179" s="371">
        <v>1.216</v>
      </c>
      <c r="M179" s="371">
        <v>1.3680000000000001</v>
      </c>
      <c r="N179" s="371">
        <v>1.54</v>
      </c>
      <c r="O179" s="371">
        <v>1.675</v>
      </c>
      <c r="P179" s="371">
        <v>1.861</v>
      </c>
      <c r="Q179" s="371">
        <v>2.0129999999999999</v>
      </c>
      <c r="R179" s="371">
        <v>2.1589999999999998</v>
      </c>
      <c r="S179" s="371">
        <v>2.302</v>
      </c>
      <c r="T179" s="371">
        <v>2.4620000000000002</v>
      </c>
      <c r="U179" s="371">
        <v>2.5979999999999999</v>
      </c>
      <c r="V179" s="371">
        <v>2.5979999999999999</v>
      </c>
      <c r="W179" s="371">
        <v>2.5979999999999999</v>
      </c>
      <c r="X179" s="371">
        <v>2.5979999999999999</v>
      </c>
      <c r="Y179" s="381">
        <v>1000</v>
      </c>
    </row>
    <row r="180" spans="1:26" x14ac:dyDescent="0.2">
      <c r="A180" s="378" t="s">
        <v>34</v>
      </c>
      <c r="B180" s="372">
        <v>0</v>
      </c>
      <c r="C180" s="376">
        <v>54.222000000000001</v>
      </c>
      <c r="D180" s="376">
        <v>43.456000000000003</v>
      </c>
      <c r="E180" s="376">
        <v>50.185000000000002</v>
      </c>
      <c r="F180" s="376">
        <v>54.063000000000002</v>
      </c>
      <c r="G180" s="376">
        <v>48.363999999999997</v>
      </c>
      <c r="H180" s="376">
        <v>45.752000000000002</v>
      </c>
      <c r="I180" s="376">
        <v>43.14</v>
      </c>
      <c r="J180" s="376">
        <v>40.29</v>
      </c>
      <c r="K180" s="376">
        <v>37.835999999999999</v>
      </c>
      <c r="L180" s="376">
        <v>32.612000000000002</v>
      </c>
      <c r="M180" s="376">
        <v>30.317</v>
      </c>
      <c r="N180" s="376">
        <v>26.359000000000002</v>
      </c>
      <c r="O180" s="376">
        <v>23.509</v>
      </c>
      <c r="P180" s="376">
        <v>19.077000000000002</v>
      </c>
      <c r="Q180" s="376">
        <v>14.565</v>
      </c>
      <c r="R180" s="376">
        <v>10.053000000000001</v>
      </c>
      <c r="S180" s="376">
        <v>4.8280000000000003</v>
      </c>
      <c r="T180" s="376">
        <v>1.504</v>
      </c>
      <c r="U180" s="373">
        <v>0</v>
      </c>
      <c r="V180" s="373">
        <v>0</v>
      </c>
      <c r="W180" s="373">
        <v>0</v>
      </c>
      <c r="X180" s="373">
        <v>0</v>
      </c>
      <c r="Y180" s="382">
        <v>0</v>
      </c>
    </row>
    <row r="181" spans="1:26" ht="13.5" thickBot="1" x14ac:dyDescent="0.25">
      <c r="A181" s="379" t="s">
        <v>116</v>
      </c>
      <c r="B181" s="374">
        <f t="shared" ref="B181:X181" si="62">(C180+B180)*(C179-B179)/2</f>
        <v>0.379554</v>
      </c>
      <c r="C181" s="375">
        <f t="shared" si="62"/>
        <v>2.0512380000000001</v>
      </c>
      <c r="D181" s="375">
        <f t="shared" si="62"/>
        <v>1.685538</v>
      </c>
      <c r="E181" s="375">
        <f t="shared" si="62"/>
        <v>3.5444320000000005</v>
      </c>
      <c r="F181" s="375">
        <f t="shared" si="62"/>
        <v>3.6873720000000003</v>
      </c>
      <c r="G181" s="375">
        <f t="shared" si="62"/>
        <v>6.1645979999999989</v>
      </c>
      <c r="H181" s="375">
        <f t="shared" si="62"/>
        <v>6.0446559999999998</v>
      </c>
      <c r="I181" s="375">
        <f t="shared" si="62"/>
        <v>6.5075400000000014</v>
      </c>
      <c r="J181" s="375">
        <f t="shared" si="62"/>
        <v>7.343843999999998</v>
      </c>
      <c r="K181" s="375">
        <f t="shared" si="62"/>
        <v>13.138552000000001</v>
      </c>
      <c r="L181" s="375">
        <f t="shared" si="62"/>
        <v>4.7826040000000045</v>
      </c>
      <c r="M181" s="375">
        <f t="shared" si="62"/>
        <v>4.8741359999999982</v>
      </c>
      <c r="N181" s="375">
        <f t="shared" si="62"/>
        <v>3.3660900000000002</v>
      </c>
      <c r="O181" s="375">
        <f t="shared" si="62"/>
        <v>3.9604979999999985</v>
      </c>
      <c r="P181" s="375">
        <f t="shared" si="62"/>
        <v>2.5567919999999988</v>
      </c>
      <c r="Q181" s="375">
        <f t="shared" si="62"/>
        <v>1.797113999999999</v>
      </c>
      <c r="R181" s="375">
        <f t="shared" si="62"/>
        <v>1.0639915000000018</v>
      </c>
      <c r="S181" s="375">
        <f t="shared" si="62"/>
        <v>0.50656000000000045</v>
      </c>
      <c r="T181" s="375">
        <f t="shared" si="62"/>
        <v>0.10227199999999975</v>
      </c>
      <c r="U181" s="375">
        <f t="shared" si="62"/>
        <v>0</v>
      </c>
      <c r="V181" s="375">
        <f t="shared" si="62"/>
        <v>0</v>
      </c>
      <c r="W181" s="375">
        <f t="shared" si="62"/>
        <v>0</v>
      </c>
      <c r="X181" s="375">
        <f t="shared" si="62"/>
        <v>0</v>
      </c>
      <c r="Y181" s="369"/>
    </row>
    <row r="182" spans="1:26" ht="13.5" thickBot="1" x14ac:dyDescent="0.2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6" ht="13.5" thickBot="1" x14ac:dyDescent="0.25">
      <c r="A183" s="361" t="s">
        <v>325</v>
      </c>
      <c r="B183" s="359">
        <f>ROW(A183)</f>
        <v>183</v>
      </c>
      <c r="C183" s="363" t="s">
        <v>115</v>
      </c>
      <c r="D183" s="353">
        <f>SUM(B186:Y186)</f>
        <v>73.169517999999997</v>
      </c>
      <c r="E183" s="363" t="s">
        <v>114</v>
      </c>
      <c r="F183" s="354">
        <f>D183/g/J183</f>
        <v>177.58729673316827</v>
      </c>
      <c r="G183" s="363" t="s">
        <v>56</v>
      </c>
      <c r="H183" s="64">
        <v>9.6000000000000002E-2</v>
      </c>
      <c r="I183" s="363" t="s">
        <v>271</v>
      </c>
      <c r="J183" s="355">
        <f>H183-L183</f>
        <v>4.2000000000000003E-2</v>
      </c>
      <c r="K183" s="363" t="s">
        <v>272</v>
      </c>
      <c r="L183" s="64">
        <v>5.3999999999999999E-2</v>
      </c>
      <c r="M183" s="363" t="s">
        <v>57</v>
      </c>
      <c r="N183" s="396">
        <v>66.5</v>
      </c>
      <c r="O183" s="363" t="s">
        <v>59</v>
      </c>
      <c r="P183" s="396">
        <v>66.5</v>
      </c>
      <c r="Q183" s="363" t="s">
        <v>60</v>
      </c>
      <c r="R183" s="65">
        <v>133</v>
      </c>
      <c r="S183" s="363" t="s">
        <v>61</v>
      </c>
      <c r="T183" s="65">
        <v>24</v>
      </c>
      <c r="U183" s="363" t="s">
        <v>54</v>
      </c>
      <c r="V183" s="66" t="s">
        <v>400</v>
      </c>
      <c r="W183" s="463" t="s">
        <v>394</v>
      </c>
      <c r="X183" s="465">
        <v>0.87</v>
      </c>
      <c r="Y183" s="463" t="s">
        <v>393</v>
      </c>
      <c r="Z183" s="358">
        <v>15</v>
      </c>
    </row>
    <row r="184" spans="1:26" x14ac:dyDescent="0.2">
      <c r="A184" s="362" t="s">
        <v>33</v>
      </c>
      <c r="B184" s="370">
        <v>0</v>
      </c>
      <c r="C184" s="371">
        <v>0.01</v>
      </c>
      <c r="D184" s="371">
        <v>2.3E-2</v>
      </c>
      <c r="E184" s="371">
        <v>0.04</v>
      </c>
      <c r="F184" s="371">
        <v>0.11799999999999999</v>
      </c>
      <c r="G184" s="371">
        <v>0.28299999999999997</v>
      </c>
      <c r="H184" s="371">
        <v>0.51</v>
      </c>
      <c r="I184" s="371">
        <v>0.68799999999999994</v>
      </c>
      <c r="J184" s="371">
        <v>0.78700000000000003</v>
      </c>
      <c r="K184" s="371">
        <v>0.85199999999999998</v>
      </c>
      <c r="L184" s="371">
        <v>0.873</v>
      </c>
      <c r="M184" s="371">
        <v>0.873</v>
      </c>
      <c r="N184" s="371">
        <v>0.873</v>
      </c>
      <c r="O184" s="371">
        <v>0.873</v>
      </c>
      <c r="P184" s="371">
        <v>0.873</v>
      </c>
      <c r="Q184" s="371">
        <v>0.873</v>
      </c>
      <c r="R184" s="371">
        <v>0.873</v>
      </c>
      <c r="S184" s="371">
        <v>0.873</v>
      </c>
      <c r="T184" s="371">
        <v>0.873</v>
      </c>
      <c r="U184" s="371">
        <v>0.873</v>
      </c>
      <c r="V184" s="371">
        <v>0.873</v>
      </c>
      <c r="W184" s="371">
        <v>0.873</v>
      </c>
      <c r="X184" s="371">
        <v>2</v>
      </c>
      <c r="Y184" s="381">
        <v>1000</v>
      </c>
    </row>
    <row r="185" spans="1:26" x14ac:dyDescent="0.2">
      <c r="A185" s="378" t="s">
        <v>34</v>
      </c>
      <c r="B185" s="372">
        <v>0</v>
      </c>
      <c r="C185" s="376">
        <v>76.073999999999998</v>
      </c>
      <c r="D185" s="376">
        <v>100.185</v>
      </c>
      <c r="E185" s="376">
        <v>92.424999999999997</v>
      </c>
      <c r="F185" s="376">
        <v>100.878</v>
      </c>
      <c r="G185" s="376">
        <v>102.402</v>
      </c>
      <c r="H185" s="376">
        <v>96.442999999999998</v>
      </c>
      <c r="I185" s="376">
        <v>87.436000000000007</v>
      </c>
      <c r="J185" s="376">
        <v>25.911999999999999</v>
      </c>
      <c r="K185" s="376">
        <v>7.2060000000000004</v>
      </c>
      <c r="L185" s="373">
        <v>0</v>
      </c>
      <c r="M185" s="373">
        <v>0</v>
      </c>
      <c r="N185" s="373">
        <v>0</v>
      </c>
      <c r="O185" s="373">
        <v>0</v>
      </c>
      <c r="P185" s="373">
        <v>0</v>
      </c>
      <c r="Q185" s="373">
        <v>0</v>
      </c>
      <c r="R185" s="373">
        <v>0</v>
      </c>
      <c r="S185" s="373">
        <v>0</v>
      </c>
      <c r="T185" s="373">
        <v>0</v>
      </c>
      <c r="U185" s="373">
        <v>0</v>
      </c>
      <c r="V185" s="373">
        <v>0</v>
      </c>
      <c r="W185" s="373">
        <v>0</v>
      </c>
      <c r="X185" s="373">
        <v>0</v>
      </c>
      <c r="Y185" s="382">
        <v>0</v>
      </c>
    </row>
    <row r="186" spans="1:26" ht="13.5" thickBot="1" x14ac:dyDescent="0.25">
      <c r="A186" s="379" t="s">
        <v>116</v>
      </c>
      <c r="B186" s="374">
        <f t="shared" ref="B186:X186" si="63">(C185+B185)*(C184-B184)/2</f>
        <v>0.38036999999999999</v>
      </c>
      <c r="C186" s="375">
        <f t="shared" si="63"/>
        <v>1.1456835000000001</v>
      </c>
      <c r="D186" s="375">
        <f t="shared" si="63"/>
        <v>1.6371850000000003</v>
      </c>
      <c r="E186" s="375">
        <f t="shared" si="63"/>
        <v>7.5388169999999981</v>
      </c>
      <c r="F186" s="375">
        <f t="shared" si="63"/>
        <v>16.770599999999998</v>
      </c>
      <c r="G186" s="375">
        <f t="shared" si="63"/>
        <v>22.568907500000002</v>
      </c>
      <c r="H186" s="375">
        <f t="shared" si="63"/>
        <v>16.365230999999994</v>
      </c>
      <c r="I186" s="375">
        <f t="shared" si="63"/>
        <v>5.6107260000000059</v>
      </c>
      <c r="J186" s="375">
        <f t="shared" si="63"/>
        <v>1.0763349999999992</v>
      </c>
      <c r="K186" s="375">
        <f t="shared" si="63"/>
        <v>7.5663000000000077E-2</v>
      </c>
      <c r="L186" s="375">
        <f t="shared" si="63"/>
        <v>0</v>
      </c>
      <c r="M186" s="375">
        <f t="shared" si="63"/>
        <v>0</v>
      </c>
      <c r="N186" s="375">
        <f t="shared" si="63"/>
        <v>0</v>
      </c>
      <c r="O186" s="375">
        <f t="shared" si="63"/>
        <v>0</v>
      </c>
      <c r="P186" s="375">
        <f t="shared" si="63"/>
        <v>0</v>
      </c>
      <c r="Q186" s="375">
        <f t="shared" si="63"/>
        <v>0</v>
      </c>
      <c r="R186" s="375">
        <f t="shared" si="63"/>
        <v>0</v>
      </c>
      <c r="S186" s="375">
        <f t="shared" si="63"/>
        <v>0</v>
      </c>
      <c r="T186" s="375">
        <f t="shared" si="63"/>
        <v>0</v>
      </c>
      <c r="U186" s="375">
        <f t="shared" si="63"/>
        <v>0</v>
      </c>
      <c r="V186" s="375">
        <f t="shared" si="63"/>
        <v>0</v>
      </c>
      <c r="W186" s="375">
        <f t="shared" si="63"/>
        <v>0</v>
      </c>
      <c r="X186" s="375">
        <f t="shared" si="63"/>
        <v>0</v>
      </c>
      <c r="Y186" s="369"/>
    </row>
    <row r="187" spans="1:26" ht="13.5" thickBot="1" x14ac:dyDescent="0.2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6" ht="13.5" thickBot="1" x14ac:dyDescent="0.25">
      <c r="A188" s="361" t="s">
        <v>326</v>
      </c>
      <c r="B188" s="359">
        <f>ROW(A188)</f>
        <v>188</v>
      </c>
      <c r="C188" s="363" t="s">
        <v>115</v>
      </c>
      <c r="D188" s="353">
        <f>SUM(B191:Y191)</f>
        <v>75.254384000000016</v>
      </c>
      <c r="E188" s="363" t="s">
        <v>114</v>
      </c>
      <c r="F188" s="354">
        <f>D188/g/J188</f>
        <v>232.46033422914161</v>
      </c>
      <c r="G188" s="363" t="s">
        <v>56</v>
      </c>
      <c r="H188" s="64">
        <v>9.5000000000000001E-2</v>
      </c>
      <c r="I188" s="363" t="s">
        <v>271</v>
      </c>
      <c r="J188" s="355">
        <f>H188-L188</f>
        <v>3.3000000000000002E-2</v>
      </c>
      <c r="K188" s="363" t="s">
        <v>272</v>
      </c>
      <c r="L188" s="64">
        <f>0.095-0.033</f>
        <v>6.2E-2</v>
      </c>
      <c r="M188" s="363" t="s">
        <v>57</v>
      </c>
      <c r="N188" s="396">
        <v>66.5</v>
      </c>
      <c r="O188" s="363" t="s">
        <v>59</v>
      </c>
      <c r="P188" s="396">
        <v>66.5</v>
      </c>
      <c r="Q188" s="363" t="s">
        <v>60</v>
      </c>
      <c r="R188" s="65">
        <v>133</v>
      </c>
      <c r="S188" s="363" t="s">
        <v>61</v>
      </c>
      <c r="T188" s="65">
        <v>24</v>
      </c>
      <c r="U188" s="363" t="s">
        <v>54</v>
      </c>
      <c r="V188" s="66" t="s">
        <v>400</v>
      </c>
      <c r="W188" s="463" t="s">
        <v>394</v>
      </c>
      <c r="X188" s="465">
        <v>1.5</v>
      </c>
      <c r="Y188" s="463" t="s">
        <v>393</v>
      </c>
      <c r="Z188" s="358">
        <v>12</v>
      </c>
    </row>
    <row r="189" spans="1:26" x14ac:dyDescent="0.2">
      <c r="A189" s="362" t="s">
        <v>33</v>
      </c>
      <c r="B189" s="370">
        <v>0</v>
      </c>
      <c r="C189" s="371">
        <v>0.02</v>
      </c>
      <c r="D189" s="371">
        <v>3.1E-2</v>
      </c>
      <c r="E189" s="371">
        <v>6.2E-2</v>
      </c>
      <c r="F189" s="371">
        <v>0.11700000000000001</v>
      </c>
      <c r="G189" s="371">
        <v>1.2110000000000001</v>
      </c>
      <c r="H189" s="371">
        <v>1.3759999999999999</v>
      </c>
      <c r="I189" s="371">
        <v>1.456</v>
      </c>
      <c r="J189" s="371">
        <v>1.532</v>
      </c>
      <c r="K189" s="371">
        <v>1.577</v>
      </c>
      <c r="L189" s="371">
        <v>2</v>
      </c>
      <c r="M189" s="371">
        <v>2</v>
      </c>
      <c r="N189" s="371">
        <v>2</v>
      </c>
      <c r="O189" s="371">
        <v>2</v>
      </c>
      <c r="P189" s="371">
        <v>2</v>
      </c>
      <c r="Q189" s="371">
        <v>2</v>
      </c>
      <c r="R189" s="371">
        <v>2</v>
      </c>
      <c r="S189" s="371">
        <v>2</v>
      </c>
      <c r="T189" s="371">
        <v>2</v>
      </c>
      <c r="U189" s="371">
        <v>2</v>
      </c>
      <c r="V189" s="371">
        <v>2</v>
      </c>
      <c r="W189" s="371">
        <v>2</v>
      </c>
      <c r="X189" s="371">
        <f t="shared" ref="T189:X190" si="64">W189</f>
        <v>2</v>
      </c>
      <c r="Y189" s="381">
        <v>1000</v>
      </c>
    </row>
    <row r="190" spans="1:26" x14ac:dyDescent="0.2">
      <c r="A190" s="378" t="s">
        <v>34</v>
      </c>
      <c r="B190" s="372">
        <v>0</v>
      </c>
      <c r="C190" s="373">
        <v>75.924000000000007</v>
      </c>
      <c r="D190" s="373">
        <v>84.147999999999996</v>
      </c>
      <c r="E190" s="373">
        <v>70.441000000000003</v>
      </c>
      <c r="F190" s="373">
        <v>73.659000000000006</v>
      </c>
      <c r="G190" s="373">
        <v>38.737000000000002</v>
      </c>
      <c r="H190" s="373">
        <v>14.779</v>
      </c>
      <c r="I190" s="373">
        <v>7.2709999999999999</v>
      </c>
      <c r="J190" s="373">
        <v>3.3370000000000002</v>
      </c>
      <c r="K190" s="373">
        <v>0</v>
      </c>
      <c r="L190" s="373">
        <v>0</v>
      </c>
      <c r="M190" s="373">
        <v>0</v>
      </c>
      <c r="N190" s="373">
        <v>0</v>
      </c>
      <c r="O190" s="373">
        <v>0</v>
      </c>
      <c r="P190" s="373">
        <v>0</v>
      </c>
      <c r="Q190" s="373">
        <v>0</v>
      </c>
      <c r="R190" s="373">
        <v>0</v>
      </c>
      <c r="S190" s="373">
        <v>0</v>
      </c>
      <c r="T190" s="373">
        <f t="shared" si="64"/>
        <v>0</v>
      </c>
      <c r="U190" s="373">
        <f t="shared" si="64"/>
        <v>0</v>
      </c>
      <c r="V190" s="373">
        <f t="shared" si="64"/>
        <v>0</v>
      </c>
      <c r="W190" s="373">
        <f t="shared" si="64"/>
        <v>0</v>
      </c>
      <c r="X190" s="373">
        <f t="shared" si="64"/>
        <v>0</v>
      </c>
      <c r="Y190" s="382">
        <v>0</v>
      </c>
    </row>
    <row r="191" spans="1:26" ht="13.5" thickBot="1" x14ac:dyDescent="0.25">
      <c r="A191" s="379" t="s">
        <v>116</v>
      </c>
      <c r="B191" s="374">
        <f t="shared" ref="B191:V191" si="65">(C190+B190)*(C189-B189)/2</f>
        <v>0.75924000000000014</v>
      </c>
      <c r="C191" s="375">
        <f t="shared" si="65"/>
        <v>0.88039599999999996</v>
      </c>
      <c r="D191" s="375">
        <f t="shared" si="65"/>
        <v>2.3961294999999998</v>
      </c>
      <c r="E191" s="375">
        <f t="shared" si="65"/>
        <v>3.9627500000000011</v>
      </c>
      <c r="F191" s="375">
        <f t="shared" si="65"/>
        <v>61.480612000000015</v>
      </c>
      <c r="G191" s="375">
        <f t="shared" si="65"/>
        <v>4.4150699999999956</v>
      </c>
      <c r="H191" s="375">
        <f t="shared" si="65"/>
        <v>0.88200000000000078</v>
      </c>
      <c r="I191" s="375">
        <f t="shared" si="65"/>
        <v>0.40310400000000035</v>
      </c>
      <c r="J191" s="375">
        <f>(K190+J190)*(K189-J189)/2</f>
        <v>7.5082499999999885E-2</v>
      </c>
      <c r="K191" s="375">
        <f t="shared" si="65"/>
        <v>0</v>
      </c>
      <c r="L191" s="375">
        <f t="shared" si="65"/>
        <v>0</v>
      </c>
      <c r="M191" s="375">
        <f t="shared" si="65"/>
        <v>0</v>
      </c>
      <c r="N191" s="375">
        <f t="shared" si="65"/>
        <v>0</v>
      </c>
      <c r="O191" s="375">
        <f t="shared" si="65"/>
        <v>0</v>
      </c>
      <c r="P191" s="375">
        <f t="shared" si="65"/>
        <v>0</v>
      </c>
      <c r="Q191" s="375">
        <f t="shared" si="65"/>
        <v>0</v>
      </c>
      <c r="R191" s="375">
        <f t="shared" si="65"/>
        <v>0</v>
      </c>
      <c r="S191" s="375">
        <f>(T190+S190)*(T189-S189)/2</f>
        <v>0</v>
      </c>
      <c r="T191" s="375">
        <f t="shared" si="65"/>
        <v>0</v>
      </c>
      <c r="U191" s="375">
        <f t="shared" si="65"/>
        <v>0</v>
      </c>
      <c r="V191" s="375">
        <f t="shared" si="65"/>
        <v>0</v>
      </c>
      <c r="W191" s="375">
        <f>(X190+W190)*(X189-W189)/2</f>
        <v>0</v>
      </c>
      <c r="X191" s="375">
        <f>(Y190+X190)*(Y189-X189)/2</f>
        <v>0</v>
      </c>
      <c r="Y191" s="369"/>
    </row>
    <row r="192" spans="1:26" ht="13.5" thickBot="1" x14ac:dyDescent="0.25">
      <c r="A192" s="6" t="s">
        <v>373</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6" ht="13.5" thickBot="1" x14ac:dyDescent="0.25">
      <c r="A193" s="361" t="s">
        <v>536</v>
      </c>
      <c r="B193" s="359">
        <f>ROW(A193)</f>
        <v>193</v>
      </c>
      <c r="C193" s="363" t="s">
        <v>115</v>
      </c>
      <c r="D193" s="353">
        <f>SUM(B196:Y196)</f>
        <v>141.04999999999998</v>
      </c>
      <c r="E193" s="363" t="s">
        <v>114</v>
      </c>
      <c r="F193" s="354">
        <f>D193/g/J193</f>
        <v>186.24592648930721</v>
      </c>
      <c r="G193" s="363" t="s">
        <v>56</v>
      </c>
      <c r="H193" s="64">
        <v>0.16189999999999999</v>
      </c>
      <c r="I193" s="363" t="s">
        <v>271</v>
      </c>
      <c r="J193" s="355">
        <f>H193-L193</f>
        <v>7.7199999999999991E-2</v>
      </c>
      <c r="K193" s="363" t="s">
        <v>272</v>
      </c>
      <c r="L193" s="64">
        <v>8.4699999999999998E-2</v>
      </c>
      <c r="M193" s="363" t="s">
        <v>57</v>
      </c>
      <c r="N193" s="65">
        <v>114</v>
      </c>
      <c r="O193" s="363" t="s">
        <v>59</v>
      </c>
      <c r="P193" s="65">
        <v>114</v>
      </c>
      <c r="Q193" s="363" t="s">
        <v>60</v>
      </c>
      <c r="R193" s="65">
        <v>228</v>
      </c>
      <c r="S193" s="363" t="s">
        <v>61</v>
      </c>
      <c r="T193" s="65">
        <v>24</v>
      </c>
      <c r="U193" s="363" t="s">
        <v>54</v>
      </c>
      <c r="V193" s="66" t="s">
        <v>119</v>
      </c>
      <c r="W193" s="463" t="s">
        <v>394</v>
      </c>
      <c r="X193" s="465">
        <v>0.96</v>
      </c>
      <c r="Y193" s="463" t="s">
        <v>393</v>
      </c>
      <c r="Z193" s="358">
        <v>15</v>
      </c>
    </row>
    <row r="194" spans="1:26" x14ac:dyDescent="0.2">
      <c r="A194" s="362" t="s">
        <v>33</v>
      </c>
      <c r="B194" s="370">
        <v>0</v>
      </c>
      <c r="C194" s="371">
        <v>0.02</v>
      </c>
      <c r="D194" s="371">
        <v>0.03</v>
      </c>
      <c r="E194" s="371">
        <v>0.05</v>
      </c>
      <c r="F194" s="371">
        <v>0.6</v>
      </c>
      <c r="G194" s="371">
        <v>0.67</v>
      </c>
      <c r="H194" s="371">
        <v>0.7</v>
      </c>
      <c r="I194" s="371">
        <v>0.8</v>
      </c>
      <c r="J194" s="371">
        <v>0.9</v>
      </c>
      <c r="K194" s="371">
        <v>1.05</v>
      </c>
      <c r="L194" s="371">
        <f t="shared" ref="L194:W194" si="66">K194</f>
        <v>1.05</v>
      </c>
      <c r="M194" s="371">
        <f t="shared" si="66"/>
        <v>1.05</v>
      </c>
      <c r="N194" s="371">
        <f t="shared" si="66"/>
        <v>1.05</v>
      </c>
      <c r="O194" s="371">
        <f t="shared" si="66"/>
        <v>1.05</v>
      </c>
      <c r="P194" s="371">
        <f t="shared" si="66"/>
        <v>1.05</v>
      </c>
      <c r="Q194" s="371">
        <f t="shared" si="66"/>
        <v>1.05</v>
      </c>
      <c r="R194" s="371">
        <f t="shared" si="66"/>
        <v>1.05</v>
      </c>
      <c r="S194" s="371">
        <f t="shared" si="66"/>
        <v>1.05</v>
      </c>
      <c r="T194" s="371">
        <f t="shared" si="66"/>
        <v>1.05</v>
      </c>
      <c r="U194" s="371">
        <f t="shared" si="66"/>
        <v>1.05</v>
      </c>
      <c r="V194" s="371">
        <f t="shared" si="66"/>
        <v>1.05</v>
      </c>
      <c r="W194" s="371">
        <f t="shared" si="66"/>
        <v>1.05</v>
      </c>
      <c r="X194" s="371">
        <v>2</v>
      </c>
      <c r="Y194" s="381">
        <v>1000</v>
      </c>
    </row>
    <row r="195" spans="1:26" x14ac:dyDescent="0.2">
      <c r="A195" s="378" t="s">
        <v>34</v>
      </c>
      <c r="B195" s="372">
        <v>0</v>
      </c>
      <c r="C195" s="373">
        <v>350</v>
      </c>
      <c r="D195" s="373">
        <v>250</v>
      </c>
      <c r="E195" s="373">
        <v>210</v>
      </c>
      <c r="F195" s="373">
        <v>150</v>
      </c>
      <c r="G195" s="373">
        <v>140</v>
      </c>
      <c r="H195" s="373">
        <v>130</v>
      </c>
      <c r="I195" s="373">
        <v>65</v>
      </c>
      <c r="J195" s="373">
        <v>30</v>
      </c>
      <c r="K195" s="373">
        <v>0</v>
      </c>
      <c r="L195" s="373">
        <v>0</v>
      </c>
      <c r="M195" s="373">
        <v>0</v>
      </c>
      <c r="N195" s="373">
        <v>0</v>
      </c>
      <c r="O195" s="373">
        <v>0</v>
      </c>
      <c r="P195" s="373">
        <v>0</v>
      </c>
      <c r="Q195" s="373">
        <v>0</v>
      </c>
      <c r="R195" s="373">
        <v>0</v>
      </c>
      <c r="S195" s="373">
        <f t="shared" ref="S195:X195" si="67">R195</f>
        <v>0</v>
      </c>
      <c r="T195" s="373">
        <f t="shared" si="67"/>
        <v>0</v>
      </c>
      <c r="U195" s="373">
        <f t="shared" si="67"/>
        <v>0</v>
      </c>
      <c r="V195" s="373">
        <f t="shared" si="67"/>
        <v>0</v>
      </c>
      <c r="W195" s="373">
        <f t="shared" si="67"/>
        <v>0</v>
      </c>
      <c r="X195" s="373">
        <f t="shared" si="67"/>
        <v>0</v>
      </c>
      <c r="Y195" s="382">
        <v>0</v>
      </c>
    </row>
    <row r="196" spans="1:26" ht="13.5" thickBot="1" x14ac:dyDescent="0.25">
      <c r="A196" s="379" t="s">
        <v>116</v>
      </c>
      <c r="B196" s="374">
        <f t="shared" ref="B196:X196" si="68">(C195+B195)*(C194-B194)/2</f>
        <v>3.5</v>
      </c>
      <c r="C196" s="375">
        <f t="shared" si="68"/>
        <v>2.9999999999999996</v>
      </c>
      <c r="D196" s="375">
        <f t="shared" si="68"/>
        <v>4.6000000000000005</v>
      </c>
      <c r="E196" s="375">
        <f t="shared" si="68"/>
        <v>98.999999999999986</v>
      </c>
      <c r="F196" s="375">
        <f t="shared" si="68"/>
        <v>10.150000000000009</v>
      </c>
      <c r="G196" s="375">
        <f t="shared" si="68"/>
        <v>4.0499999999999883</v>
      </c>
      <c r="H196" s="375">
        <f t="shared" si="68"/>
        <v>9.7500000000000089</v>
      </c>
      <c r="I196" s="375">
        <f t="shared" si="68"/>
        <v>4.7499999999999991</v>
      </c>
      <c r="J196" s="375">
        <f t="shared" si="68"/>
        <v>2.2500000000000004</v>
      </c>
      <c r="K196" s="375">
        <f t="shared" si="68"/>
        <v>0</v>
      </c>
      <c r="L196" s="375">
        <f t="shared" si="68"/>
        <v>0</v>
      </c>
      <c r="M196" s="375">
        <f t="shared" si="68"/>
        <v>0</v>
      </c>
      <c r="N196" s="375">
        <f t="shared" si="68"/>
        <v>0</v>
      </c>
      <c r="O196" s="375">
        <f t="shared" si="68"/>
        <v>0</v>
      </c>
      <c r="P196" s="375">
        <f t="shared" si="68"/>
        <v>0</v>
      </c>
      <c r="Q196" s="375">
        <f t="shared" si="68"/>
        <v>0</v>
      </c>
      <c r="R196" s="375">
        <f t="shared" si="68"/>
        <v>0</v>
      </c>
      <c r="S196" s="375">
        <f t="shared" si="68"/>
        <v>0</v>
      </c>
      <c r="T196" s="375">
        <f t="shared" si="68"/>
        <v>0</v>
      </c>
      <c r="U196" s="375">
        <f t="shared" si="68"/>
        <v>0</v>
      </c>
      <c r="V196" s="375">
        <f t="shared" si="68"/>
        <v>0</v>
      </c>
      <c r="W196" s="375">
        <f t="shared" si="68"/>
        <v>0</v>
      </c>
      <c r="X196" s="375">
        <f t="shared" si="68"/>
        <v>0</v>
      </c>
      <c r="Y196" s="369"/>
    </row>
    <row r="197" spans="1:26" ht="13.5" thickBot="1" x14ac:dyDescent="0.25">
      <c r="A197" s="12" t="s">
        <v>545</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6" ht="13.5" thickBot="1" x14ac:dyDescent="0.25">
      <c r="A198" s="361" t="s">
        <v>548</v>
      </c>
      <c r="B198" s="359">
        <f>ROW(A198)</f>
        <v>198</v>
      </c>
      <c r="C198" s="363" t="s">
        <v>115</v>
      </c>
      <c r="D198" s="353">
        <f>SUM(B201:Y201)</f>
        <v>142.44</v>
      </c>
      <c r="E198" s="363" t="s">
        <v>114</v>
      </c>
      <c r="F198" s="354">
        <f>D198/g/J198</f>
        <v>192.06187401906058</v>
      </c>
      <c r="G198" s="363" t="s">
        <v>56</v>
      </c>
      <c r="H198" s="64">
        <v>0.15989999999999999</v>
      </c>
      <c r="I198" s="363" t="s">
        <v>271</v>
      </c>
      <c r="J198" s="355">
        <f>H198-L198</f>
        <v>7.5599999999999987E-2</v>
      </c>
      <c r="K198" s="363" t="s">
        <v>272</v>
      </c>
      <c r="L198" s="64">
        <v>8.43E-2</v>
      </c>
      <c r="M198" s="363" t="s">
        <v>57</v>
      </c>
      <c r="N198" s="65">
        <v>114</v>
      </c>
      <c r="O198" s="363" t="s">
        <v>59</v>
      </c>
      <c r="P198" s="65">
        <v>114</v>
      </c>
      <c r="Q198" s="363" t="s">
        <v>60</v>
      </c>
      <c r="R198" s="65">
        <v>228</v>
      </c>
      <c r="S198" s="363" t="s">
        <v>61</v>
      </c>
      <c r="T198" s="65">
        <v>24</v>
      </c>
      <c r="U198" s="363" t="s">
        <v>54</v>
      </c>
      <c r="V198" s="66" t="s">
        <v>401</v>
      </c>
      <c r="W198" s="463" t="s">
        <v>394</v>
      </c>
      <c r="X198" s="465">
        <v>0.97</v>
      </c>
      <c r="Y198" s="463" t="s">
        <v>393</v>
      </c>
      <c r="Z198" s="358">
        <v>13</v>
      </c>
    </row>
    <row r="199" spans="1:26" x14ac:dyDescent="0.2">
      <c r="A199" s="362" t="s">
        <v>33</v>
      </c>
      <c r="B199" s="370">
        <v>0</v>
      </c>
      <c r="C199" s="371">
        <v>0.02</v>
      </c>
      <c r="D199" s="371">
        <v>0.04</v>
      </c>
      <c r="E199" s="371">
        <v>0.62</v>
      </c>
      <c r="F199" s="371">
        <v>0.66</v>
      </c>
      <c r="G199" s="371">
        <v>0.68</v>
      </c>
      <c r="H199" s="371">
        <v>0.8</v>
      </c>
      <c r="I199" s="371">
        <v>0.84</v>
      </c>
      <c r="J199" s="371">
        <v>0.88</v>
      </c>
      <c r="K199" s="371">
        <v>0.92</v>
      </c>
      <c r="L199" s="371">
        <v>0.96</v>
      </c>
      <c r="M199" s="371">
        <v>1</v>
      </c>
      <c r="N199" s="371">
        <v>1.08</v>
      </c>
      <c r="O199" s="371">
        <v>2</v>
      </c>
      <c r="P199" s="371">
        <v>2</v>
      </c>
      <c r="Q199" s="371">
        <v>2</v>
      </c>
      <c r="R199" s="371">
        <v>2</v>
      </c>
      <c r="S199" s="371">
        <f t="shared" ref="S199:X200" si="69">R199</f>
        <v>2</v>
      </c>
      <c r="T199" s="371">
        <f t="shared" si="69"/>
        <v>2</v>
      </c>
      <c r="U199" s="371">
        <f t="shared" si="69"/>
        <v>2</v>
      </c>
      <c r="V199" s="371">
        <f t="shared" si="69"/>
        <v>2</v>
      </c>
      <c r="W199" s="371">
        <f t="shared" si="69"/>
        <v>2</v>
      </c>
      <c r="X199" s="371">
        <f t="shared" si="69"/>
        <v>2</v>
      </c>
      <c r="Y199" s="381">
        <v>1000</v>
      </c>
    </row>
    <row r="200" spans="1:26" x14ac:dyDescent="0.2">
      <c r="A200" s="378" t="s">
        <v>34</v>
      </c>
      <c r="B200" s="372">
        <v>0</v>
      </c>
      <c r="C200" s="373">
        <v>250</v>
      </c>
      <c r="D200" s="373">
        <v>210</v>
      </c>
      <c r="E200" s="373">
        <v>160</v>
      </c>
      <c r="F200" s="373">
        <v>150</v>
      </c>
      <c r="G200" s="373">
        <v>142</v>
      </c>
      <c r="H200" s="373">
        <v>62</v>
      </c>
      <c r="I200" s="373">
        <v>48</v>
      </c>
      <c r="J200" s="373">
        <v>34</v>
      </c>
      <c r="K200" s="373">
        <v>24</v>
      </c>
      <c r="L200" s="373">
        <v>15</v>
      </c>
      <c r="M200" s="373">
        <v>10</v>
      </c>
      <c r="N200" s="373">
        <v>0</v>
      </c>
      <c r="O200" s="373">
        <v>0</v>
      </c>
      <c r="P200" s="373">
        <v>0</v>
      </c>
      <c r="Q200" s="373">
        <v>0</v>
      </c>
      <c r="R200" s="373">
        <v>0</v>
      </c>
      <c r="S200" s="373">
        <f t="shared" si="69"/>
        <v>0</v>
      </c>
      <c r="T200" s="373">
        <f t="shared" si="69"/>
        <v>0</v>
      </c>
      <c r="U200" s="373">
        <f t="shared" si="69"/>
        <v>0</v>
      </c>
      <c r="V200" s="373">
        <f t="shared" si="69"/>
        <v>0</v>
      </c>
      <c r="W200" s="373">
        <f t="shared" si="69"/>
        <v>0</v>
      </c>
      <c r="X200" s="373">
        <f t="shared" si="69"/>
        <v>0</v>
      </c>
      <c r="Y200" s="382">
        <v>0</v>
      </c>
    </row>
    <row r="201" spans="1:26" ht="13.5" thickBot="1" x14ac:dyDescent="0.25">
      <c r="A201" s="379" t="s">
        <v>116</v>
      </c>
      <c r="B201" s="374">
        <f t="shared" ref="B201:X201" si="70">(C200+B200)*(C199-B199)/2</f>
        <v>2.5</v>
      </c>
      <c r="C201" s="375">
        <f t="shared" si="70"/>
        <v>4.6000000000000005</v>
      </c>
      <c r="D201" s="375">
        <f t="shared" si="70"/>
        <v>107.3</v>
      </c>
      <c r="E201" s="375">
        <f t="shared" si="70"/>
        <v>6.2000000000000055</v>
      </c>
      <c r="F201" s="375">
        <f t="shared" si="70"/>
        <v>2.9200000000000026</v>
      </c>
      <c r="G201" s="375">
        <f t="shared" si="70"/>
        <v>12.24</v>
      </c>
      <c r="H201" s="375">
        <f t="shared" si="70"/>
        <v>2.1999999999999957</v>
      </c>
      <c r="I201" s="375">
        <f t="shared" si="70"/>
        <v>1.6400000000000015</v>
      </c>
      <c r="J201" s="375">
        <f t="shared" si="70"/>
        <v>1.160000000000001</v>
      </c>
      <c r="K201" s="375">
        <f t="shared" si="70"/>
        <v>0.77999999999999847</v>
      </c>
      <c r="L201" s="375">
        <f t="shared" si="70"/>
        <v>0.50000000000000044</v>
      </c>
      <c r="M201" s="375">
        <f t="shared" si="70"/>
        <v>0.40000000000000036</v>
      </c>
      <c r="N201" s="375">
        <f t="shared" si="70"/>
        <v>0</v>
      </c>
      <c r="O201" s="375">
        <f t="shared" si="70"/>
        <v>0</v>
      </c>
      <c r="P201" s="375">
        <f t="shared" si="70"/>
        <v>0</v>
      </c>
      <c r="Q201" s="375">
        <f t="shared" si="70"/>
        <v>0</v>
      </c>
      <c r="R201" s="375">
        <f t="shared" si="70"/>
        <v>0</v>
      </c>
      <c r="S201" s="375">
        <f t="shared" si="70"/>
        <v>0</v>
      </c>
      <c r="T201" s="375">
        <f t="shared" si="70"/>
        <v>0</v>
      </c>
      <c r="U201" s="375">
        <f t="shared" si="70"/>
        <v>0</v>
      </c>
      <c r="V201" s="375">
        <f t="shared" si="70"/>
        <v>0</v>
      </c>
      <c r="W201" s="375">
        <f t="shared" si="70"/>
        <v>0</v>
      </c>
      <c r="X201" s="375">
        <f t="shared" si="70"/>
        <v>0</v>
      </c>
      <c r="Y201" s="369"/>
    </row>
    <row r="202" spans="1:26" ht="13.5" thickBot="1" x14ac:dyDescent="0.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6" ht="13.5" thickBot="1" x14ac:dyDescent="0.25">
      <c r="A203" s="361" t="s">
        <v>538</v>
      </c>
      <c r="B203" s="359">
        <f>ROW(A203)</f>
        <v>203</v>
      </c>
      <c r="C203" s="363" t="s">
        <v>115</v>
      </c>
      <c r="D203" s="353">
        <f>SUM(B206:Y206)</f>
        <v>143.08845000000002</v>
      </c>
      <c r="E203" s="363" t="s">
        <v>114</v>
      </c>
      <c r="F203" s="354">
        <f>D203/g/J203</f>
        <v>168.23504721190514</v>
      </c>
      <c r="G203" s="363" t="s">
        <v>56</v>
      </c>
      <c r="H203" s="64">
        <v>0.17249999999999999</v>
      </c>
      <c r="I203" s="363" t="s">
        <v>271</v>
      </c>
      <c r="J203" s="355">
        <f>H203-L203</f>
        <v>8.6699999999999985E-2</v>
      </c>
      <c r="K203" s="363" t="s">
        <v>272</v>
      </c>
      <c r="L203" s="64">
        <v>8.5800000000000001E-2</v>
      </c>
      <c r="M203" s="363" t="s">
        <v>57</v>
      </c>
      <c r="N203" s="65">
        <v>114</v>
      </c>
      <c r="O203" s="363" t="s">
        <v>59</v>
      </c>
      <c r="P203" s="65">
        <v>114</v>
      </c>
      <c r="Q203" s="363" t="s">
        <v>60</v>
      </c>
      <c r="R203" s="65">
        <v>228</v>
      </c>
      <c r="S203" s="363" t="s">
        <v>61</v>
      </c>
      <c r="T203" s="65">
        <v>24</v>
      </c>
      <c r="U203" s="363" t="s">
        <v>54</v>
      </c>
      <c r="V203" s="66" t="s">
        <v>119</v>
      </c>
      <c r="W203" s="463" t="s">
        <v>394</v>
      </c>
      <c r="X203" s="465">
        <v>0.97</v>
      </c>
      <c r="Y203" s="463" t="s">
        <v>393</v>
      </c>
      <c r="Z203" s="358">
        <v>11</v>
      </c>
    </row>
    <row r="204" spans="1:26" x14ac:dyDescent="0.2">
      <c r="A204" s="362" t="s">
        <v>33</v>
      </c>
      <c r="B204" s="370">
        <v>0</v>
      </c>
      <c r="C204" s="371">
        <v>8.0000000000000002E-3</v>
      </c>
      <c r="D204" s="371">
        <v>1.2999999999999999E-2</v>
      </c>
      <c r="E204" s="371">
        <v>2.1999999999999999E-2</v>
      </c>
      <c r="F204" s="371">
        <v>3.5000000000000003E-2</v>
      </c>
      <c r="G204" s="371">
        <v>6.3E-2</v>
      </c>
      <c r="H204" s="371">
        <v>0.10299999999999999</v>
      </c>
      <c r="I204" s="371">
        <v>0.19600000000000001</v>
      </c>
      <c r="J204" s="371">
        <v>0.311</v>
      </c>
      <c r="K204" s="371">
        <v>0.47399999999999998</v>
      </c>
      <c r="L204" s="371">
        <v>0.56399999999999995</v>
      </c>
      <c r="M204" s="371">
        <v>0.76200000000000001</v>
      </c>
      <c r="N204" s="371">
        <v>0.85799999999999998</v>
      </c>
      <c r="O204" s="371">
        <v>0.92800000000000005</v>
      </c>
      <c r="P204" s="371">
        <v>1.038</v>
      </c>
      <c r="Q204" s="371">
        <v>1.08</v>
      </c>
      <c r="R204" s="371">
        <v>1.131</v>
      </c>
      <c r="S204" s="371">
        <v>1.1850000000000001</v>
      </c>
      <c r="T204" s="371">
        <v>1.224</v>
      </c>
      <c r="U204" s="371">
        <v>1.258</v>
      </c>
      <c r="V204" s="371">
        <v>1.4</v>
      </c>
      <c r="W204" s="371">
        <v>1.4410000000000001</v>
      </c>
      <c r="X204" s="371">
        <v>2</v>
      </c>
      <c r="Y204" s="381">
        <v>1000</v>
      </c>
    </row>
    <row r="205" spans="1:26" x14ac:dyDescent="0.2">
      <c r="A205" s="378" t="s">
        <v>34</v>
      </c>
      <c r="B205" s="372">
        <v>0</v>
      </c>
      <c r="C205" s="373">
        <v>168.643</v>
      </c>
      <c r="D205" s="373">
        <v>177.339</v>
      </c>
      <c r="E205" s="373">
        <v>177.86600000000001</v>
      </c>
      <c r="F205" s="373">
        <v>171.27799999999999</v>
      </c>
      <c r="G205" s="373">
        <v>157.839</v>
      </c>
      <c r="H205" s="373">
        <v>154.941</v>
      </c>
      <c r="I205" s="373">
        <v>148.88</v>
      </c>
      <c r="J205" s="373">
        <v>144.137</v>
      </c>
      <c r="K205" s="373">
        <v>138.07599999999999</v>
      </c>
      <c r="L205" s="373">
        <v>135.70500000000001</v>
      </c>
      <c r="M205" s="373">
        <v>125.955</v>
      </c>
      <c r="N205" s="373">
        <v>116.733</v>
      </c>
      <c r="O205" s="373">
        <v>101.71299999999999</v>
      </c>
      <c r="P205" s="373">
        <v>57.444000000000003</v>
      </c>
      <c r="Q205" s="373">
        <v>42.688000000000002</v>
      </c>
      <c r="R205" s="373">
        <v>31.884</v>
      </c>
      <c r="S205" s="373">
        <v>17.655000000000001</v>
      </c>
      <c r="T205" s="373">
        <v>9.4860000000000007</v>
      </c>
      <c r="U205" s="373">
        <v>5.27</v>
      </c>
      <c r="V205" s="373">
        <v>0.79100000000000004</v>
      </c>
      <c r="W205" s="373">
        <v>0</v>
      </c>
      <c r="X205" s="373">
        <f>W205</f>
        <v>0</v>
      </c>
      <c r="Y205" s="382">
        <v>0</v>
      </c>
    </row>
    <row r="206" spans="1:26" ht="13.5" thickBot="1" x14ac:dyDescent="0.25">
      <c r="A206" s="379" t="s">
        <v>116</v>
      </c>
      <c r="B206" s="374">
        <f t="shared" ref="B206:X206" si="71">(C205+B205)*(C204-B204)/2</f>
        <v>0.67457200000000006</v>
      </c>
      <c r="C206" s="375">
        <f t="shared" si="71"/>
        <v>0.86495499999999981</v>
      </c>
      <c r="D206" s="375">
        <f t="shared" si="71"/>
        <v>1.5984225000000001</v>
      </c>
      <c r="E206" s="375">
        <f t="shared" si="71"/>
        <v>2.2694360000000007</v>
      </c>
      <c r="F206" s="375">
        <f t="shared" si="71"/>
        <v>4.6076379999999988</v>
      </c>
      <c r="G206" s="375">
        <f t="shared" si="71"/>
        <v>6.2555999999999985</v>
      </c>
      <c r="H206" s="375">
        <f t="shared" si="71"/>
        <v>14.127676500000003</v>
      </c>
      <c r="I206" s="375">
        <f t="shared" si="71"/>
        <v>16.848477499999998</v>
      </c>
      <c r="J206" s="375">
        <f t="shared" si="71"/>
        <v>23.000359499999995</v>
      </c>
      <c r="K206" s="375">
        <f t="shared" si="71"/>
        <v>12.320144999999997</v>
      </c>
      <c r="L206" s="375">
        <f t="shared" si="71"/>
        <v>25.904340000000012</v>
      </c>
      <c r="M206" s="375">
        <f t="shared" si="71"/>
        <v>11.649023999999997</v>
      </c>
      <c r="N206" s="375">
        <f t="shared" si="71"/>
        <v>7.6456100000000067</v>
      </c>
      <c r="O206" s="375">
        <f t="shared" si="71"/>
        <v>8.7536349999999974</v>
      </c>
      <c r="P206" s="375">
        <f t="shared" si="71"/>
        <v>2.1027720000000021</v>
      </c>
      <c r="Q206" s="375">
        <f t="shared" si="71"/>
        <v>1.9015859999999976</v>
      </c>
      <c r="R206" s="375">
        <f t="shared" si="71"/>
        <v>1.3375530000000013</v>
      </c>
      <c r="S206" s="375">
        <f t="shared" si="71"/>
        <v>0.52924949999999904</v>
      </c>
      <c r="T206" s="375">
        <f t="shared" si="71"/>
        <v>0.25085200000000024</v>
      </c>
      <c r="U206" s="375">
        <f t="shared" si="71"/>
        <v>0.43033099999999969</v>
      </c>
      <c r="V206" s="375">
        <f t="shared" si="71"/>
        <v>1.621550000000006E-2</v>
      </c>
      <c r="W206" s="375">
        <f t="shared" si="71"/>
        <v>0</v>
      </c>
      <c r="X206" s="375">
        <f t="shared" si="71"/>
        <v>0</v>
      </c>
      <c r="Y206" s="369"/>
    </row>
    <row r="207" spans="1:26" ht="13.5" thickBot="1" x14ac:dyDescent="0.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6" ht="13.5" thickBot="1" x14ac:dyDescent="0.25">
      <c r="A208" s="361" t="s">
        <v>537</v>
      </c>
      <c r="B208" s="359">
        <f>ROW(A208)</f>
        <v>208</v>
      </c>
      <c r="C208" s="363" t="s">
        <v>115</v>
      </c>
      <c r="D208" s="353">
        <f>SUM(B211:Y211)</f>
        <v>139.423417</v>
      </c>
      <c r="E208" s="363" t="s">
        <v>114</v>
      </c>
      <c r="F208" s="354">
        <f>D208/g/J208</f>
        <v>158.62027745922524</v>
      </c>
      <c r="G208" s="363" t="s">
        <v>56</v>
      </c>
      <c r="H208" s="64">
        <v>0.19450000000000001</v>
      </c>
      <c r="I208" s="363" t="s">
        <v>271</v>
      </c>
      <c r="J208" s="355">
        <f>H208-L208</f>
        <v>8.9600000000000013E-2</v>
      </c>
      <c r="K208" s="363" t="s">
        <v>272</v>
      </c>
      <c r="L208" s="64">
        <v>0.10489999999999999</v>
      </c>
      <c r="M208" s="363" t="s">
        <v>57</v>
      </c>
      <c r="N208" s="65">
        <v>114</v>
      </c>
      <c r="O208" s="363" t="s">
        <v>59</v>
      </c>
      <c r="P208" s="65">
        <v>144</v>
      </c>
      <c r="Q208" s="363" t="s">
        <v>60</v>
      </c>
      <c r="R208" s="65">
        <v>228</v>
      </c>
      <c r="S208" s="363" t="s">
        <v>61</v>
      </c>
      <c r="T208" s="65">
        <v>24</v>
      </c>
      <c r="U208" s="363" t="s">
        <v>54</v>
      </c>
      <c r="V208" s="66" t="s">
        <v>119</v>
      </c>
      <c r="W208" s="463" t="s">
        <v>394</v>
      </c>
      <c r="X208" s="465">
        <v>1.3</v>
      </c>
      <c r="Y208" s="463" t="s">
        <v>393</v>
      </c>
      <c r="Z208" s="358">
        <v>12</v>
      </c>
    </row>
    <row r="209" spans="1:26" x14ac:dyDescent="0.2">
      <c r="A209" s="362" t="s">
        <v>33</v>
      </c>
      <c r="B209" s="370">
        <v>0</v>
      </c>
      <c r="C209" s="371">
        <v>1.0999999999999999E-2</v>
      </c>
      <c r="D209" s="371">
        <v>2.1999999999999999E-2</v>
      </c>
      <c r="E209" s="371">
        <v>4.5999999999999999E-2</v>
      </c>
      <c r="F209" s="371">
        <v>8.1000000000000003E-2</v>
      </c>
      <c r="G209" s="371">
        <v>0.219</v>
      </c>
      <c r="H209" s="371">
        <v>0.253</v>
      </c>
      <c r="I209" s="371">
        <v>0.27400000000000002</v>
      </c>
      <c r="J209" s="371">
        <v>0.30499999999999999</v>
      </c>
      <c r="K209" s="371">
        <v>0.41199999999999998</v>
      </c>
      <c r="L209" s="371">
        <v>0.78900000000000003</v>
      </c>
      <c r="M209" s="371">
        <v>0.89900000000000002</v>
      </c>
      <c r="N209" s="371">
        <v>0.95299999999999996</v>
      </c>
      <c r="O209" s="371">
        <v>0.999</v>
      </c>
      <c r="P209" s="371">
        <v>1.03</v>
      </c>
      <c r="Q209" s="371">
        <v>1.0569999999999999</v>
      </c>
      <c r="R209" s="371">
        <v>1.1020000000000001</v>
      </c>
      <c r="S209" s="371">
        <v>1.1539999999999999</v>
      </c>
      <c r="T209" s="371">
        <v>1.1970000000000001</v>
      </c>
      <c r="U209" s="371">
        <v>1.2769999999999999</v>
      </c>
      <c r="V209" s="371">
        <v>1.335</v>
      </c>
      <c r="W209" s="371">
        <v>1.4510000000000001</v>
      </c>
      <c r="X209" s="371">
        <v>2</v>
      </c>
      <c r="Y209" s="381">
        <v>1000</v>
      </c>
    </row>
    <row r="210" spans="1:26" x14ac:dyDescent="0.2">
      <c r="A210" s="378" t="s">
        <v>34</v>
      </c>
      <c r="B210" s="372">
        <v>0</v>
      </c>
      <c r="C210" s="373">
        <v>198.41800000000001</v>
      </c>
      <c r="D210" s="373">
        <v>221.83500000000001</v>
      </c>
      <c r="E210" s="373">
        <v>212.65799999999999</v>
      </c>
      <c r="F210" s="373">
        <v>218.35400000000001</v>
      </c>
      <c r="G210" s="373">
        <v>204.43</v>
      </c>
      <c r="H210" s="373">
        <v>195.886</v>
      </c>
      <c r="I210" s="373">
        <v>183.54400000000001</v>
      </c>
      <c r="J210" s="373">
        <v>88.290999999999997</v>
      </c>
      <c r="K210" s="373">
        <v>93.671000000000006</v>
      </c>
      <c r="L210" s="373">
        <v>93.986999999999995</v>
      </c>
      <c r="M210" s="373">
        <v>91.138999999999996</v>
      </c>
      <c r="N210" s="373">
        <v>89.873000000000005</v>
      </c>
      <c r="O210" s="373">
        <v>87.025000000000006</v>
      </c>
      <c r="P210" s="373">
        <v>81.328999999999994</v>
      </c>
      <c r="Q210" s="373">
        <v>69.936999999999998</v>
      </c>
      <c r="R210" s="373">
        <v>54.113999999999997</v>
      </c>
      <c r="S210" s="373">
        <v>42.405000000000001</v>
      </c>
      <c r="T210" s="373">
        <v>31.646000000000001</v>
      </c>
      <c r="U210" s="373">
        <v>17.088999999999999</v>
      </c>
      <c r="V210" s="373">
        <v>9.81</v>
      </c>
      <c r="W210" s="373">
        <v>0</v>
      </c>
      <c r="X210" s="373">
        <v>0</v>
      </c>
      <c r="Y210" s="382">
        <v>0</v>
      </c>
    </row>
    <row r="211" spans="1:26" ht="13.5" thickBot="1" x14ac:dyDescent="0.25">
      <c r="A211" s="379" t="s">
        <v>116</v>
      </c>
      <c r="B211" s="374">
        <f t="shared" ref="B211:X211" si="72">(C210+B210)*(C209-B209)/2</f>
        <v>1.091299</v>
      </c>
      <c r="C211" s="375">
        <f t="shared" si="72"/>
        <v>2.3113915</v>
      </c>
      <c r="D211" s="375">
        <f t="shared" si="72"/>
        <v>5.2139160000000002</v>
      </c>
      <c r="E211" s="375">
        <f t="shared" si="72"/>
        <v>7.5427100000000005</v>
      </c>
      <c r="F211" s="375">
        <f t="shared" si="72"/>
        <v>29.172096000000003</v>
      </c>
      <c r="G211" s="375">
        <f t="shared" si="72"/>
        <v>6.8053720000000011</v>
      </c>
      <c r="H211" s="375">
        <f t="shared" si="72"/>
        <v>3.9840150000000034</v>
      </c>
      <c r="I211" s="375">
        <f t="shared" si="72"/>
        <v>4.2134424999999966</v>
      </c>
      <c r="J211" s="375">
        <f t="shared" si="72"/>
        <v>9.7349669999999975</v>
      </c>
      <c r="K211" s="375">
        <f t="shared" si="72"/>
        <v>35.373533000000009</v>
      </c>
      <c r="L211" s="375">
        <f t="shared" si="72"/>
        <v>10.181929999999998</v>
      </c>
      <c r="M211" s="375">
        <f t="shared" si="72"/>
        <v>4.8873239999999942</v>
      </c>
      <c r="N211" s="375">
        <f t="shared" si="72"/>
        <v>4.068654000000004</v>
      </c>
      <c r="O211" s="375">
        <f t="shared" si="72"/>
        <v>2.6094870000000019</v>
      </c>
      <c r="P211" s="375">
        <f t="shared" si="72"/>
        <v>2.0420909999999934</v>
      </c>
      <c r="Q211" s="375">
        <f t="shared" si="72"/>
        <v>2.791147500000009</v>
      </c>
      <c r="R211" s="375">
        <f t="shared" si="72"/>
        <v>2.5094939999999917</v>
      </c>
      <c r="S211" s="375">
        <f t="shared" si="72"/>
        <v>1.5920965000000056</v>
      </c>
      <c r="T211" s="375">
        <f t="shared" si="72"/>
        <v>1.9493999999999962</v>
      </c>
      <c r="U211" s="375">
        <f t="shared" si="72"/>
        <v>0.78007100000000074</v>
      </c>
      <c r="V211" s="375">
        <f t="shared" si="72"/>
        <v>0.56898000000000049</v>
      </c>
      <c r="W211" s="375">
        <f t="shared" si="72"/>
        <v>0</v>
      </c>
      <c r="X211" s="375">
        <f t="shared" si="72"/>
        <v>0</v>
      </c>
      <c r="Y211" s="369"/>
    </row>
    <row r="212" spans="1:26" ht="13.5" thickBot="1" x14ac:dyDescent="0.25">
      <c r="A212" s="6" t="s">
        <v>316</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6" ht="13.5" thickBot="1" x14ac:dyDescent="0.25">
      <c r="A213" s="361" t="s">
        <v>375</v>
      </c>
      <c r="B213" s="359">
        <f>ROW(A213)</f>
        <v>213</v>
      </c>
      <c r="C213" s="363" t="s">
        <v>115</v>
      </c>
      <c r="D213" s="353">
        <f>SUM(B216:Y216)</f>
        <v>82.798500000000018</v>
      </c>
      <c r="E213" s="363" t="s">
        <v>114</v>
      </c>
      <c r="F213" s="354">
        <f>D213/g/J213</f>
        <v>131.87834480122325</v>
      </c>
      <c r="G213" s="363" t="s">
        <v>56</v>
      </c>
      <c r="H213" s="64">
        <v>0.152</v>
      </c>
      <c r="I213" s="363" t="s">
        <v>271</v>
      </c>
      <c r="J213" s="355">
        <f>H213-L213</f>
        <v>6.4000000000000001E-2</v>
      </c>
      <c r="K213" s="363" t="s">
        <v>272</v>
      </c>
      <c r="L213" s="64">
        <v>8.7999999999999995E-2</v>
      </c>
      <c r="M213" s="363" t="s">
        <v>57</v>
      </c>
      <c r="N213" s="65">
        <v>71</v>
      </c>
      <c r="O213" s="363" t="s">
        <v>59</v>
      </c>
      <c r="P213" s="65">
        <v>71</v>
      </c>
      <c r="Q213" s="363" t="s">
        <v>60</v>
      </c>
      <c r="R213" s="65">
        <v>142</v>
      </c>
      <c r="S213" s="363" t="s">
        <v>61</v>
      </c>
      <c r="T213" s="65">
        <v>29</v>
      </c>
      <c r="U213" s="363" t="s">
        <v>54</v>
      </c>
      <c r="V213" s="66" t="s">
        <v>119</v>
      </c>
      <c r="W213" s="463" t="s">
        <v>394</v>
      </c>
      <c r="X213" s="465">
        <v>0.96</v>
      </c>
      <c r="Y213" s="463" t="s">
        <v>393</v>
      </c>
      <c r="Z213" s="358">
        <v>11</v>
      </c>
    </row>
    <row r="214" spans="1:26" x14ac:dyDescent="0.2">
      <c r="A214" s="362" t="s">
        <v>33</v>
      </c>
      <c r="B214" s="370">
        <v>0</v>
      </c>
      <c r="C214" s="371">
        <v>0.02</v>
      </c>
      <c r="D214" s="371">
        <v>0.03</v>
      </c>
      <c r="E214" s="371">
        <v>0.04</v>
      </c>
      <c r="F214" s="371">
        <v>0.06</v>
      </c>
      <c r="G214" s="371">
        <v>0.08</v>
      </c>
      <c r="H214" s="371">
        <v>0.15</v>
      </c>
      <c r="I214" s="371">
        <v>0.18</v>
      </c>
      <c r="J214" s="371">
        <v>0.2</v>
      </c>
      <c r="K214" s="371">
        <v>0.3</v>
      </c>
      <c r="L214" s="371">
        <v>0.4</v>
      </c>
      <c r="M214" s="371">
        <v>0.5</v>
      </c>
      <c r="N214" s="371">
        <v>0.6</v>
      </c>
      <c r="O214" s="371">
        <v>0.7</v>
      </c>
      <c r="P214" s="371">
        <v>0.82</v>
      </c>
      <c r="Q214" s="371">
        <v>0.93</v>
      </c>
      <c r="R214" s="371">
        <v>1</v>
      </c>
      <c r="S214" s="371">
        <f t="shared" ref="S214:X215" si="73">R214</f>
        <v>1</v>
      </c>
      <c r="T214" s="371">
        <f t="shared" si="73"/>
        <v>1</v>
      </c>
      <c r="U214" s="371">
        <f t="shared" si="73"/>
        <v>1</v>
      </c>
      <c r="V214" s="371">
        <f t="shared" si="73"/>
        <v>1</v>
      </c>
      <c r="W214" s="371">
        <f t="shared" si="73"/>
        <v>1</v>
      </c>
      <c r="X214" s="371">
        <v>2</v>
      </c>
      <c r="Y214" s="381">
        <v>1000</v>
      </c>
    </row>
    <row r="215" spans="1:26" x14ac:dyDescent="0.2">
      <c r="A215" s="378" t="s">
        <v>34</v>
      </c>
      <c r="B215" s="372">
        <v>0</v>
      </c>
      <c r="C215" s="373">
        <v>41.9</v>
      </c>
      <c r="D215" s="373">
        <v>92.1</v>
      </c>
      <c r="E215" s="373">
        <v>116.7</v>
      </c>
      <c r="F215" s="373">
        <v>112.7</v>
      </c>
      <c r="G215" s="373">
        <v>82.7</v>
      </c>
      <c r="H215" s="373">
        <v>84.7</v>
      </c>
      <c r="I215" s="373">
        <v>86.2</v>
      </c>
      <c r="J215" s="373">
        <v>87.9</v>
      </c>
      <c r="K215" s="373">
        <v>90.9</v>
      </c>
      <c r="L215" s="373">
        <v>93.9</v>
      </c>
      <c r="M215" s="373">
        <v>95.3</v>
      </c>
      <c r="N215" s="373">
        <v>96.8</v>
      </c>
      <c r="O215" s="373">
        <v>97.6</v>
      </c>
      <c r="P215" s="373">
        <v>108.2</v>
      </c>
      <c r="Q215" s="373">
        <v>11</v>
      </c>
      <c r="R215" s="373">
        <v>0</v>
      </c>
      <c r="S215" s="373">
        <f t="shared" si="73"/>
        <v>0</v>
      </c>
      <c r="T215" s="373">
        <f t="shared" si="73"/>
        <v>0</v>
      </c>
      <c r="U215" s="373">
        <f t="shared" si="73"/>
        <v>0</v>
      </c>
      <c r="V215" s="373">
        <f t="shared" si="73"/>
        <v>0</v>
      </c>
      <c r="W215" s="373">
        <f t="shared" si="73"/>
        <v>0</v>
      </c>
      <c r="X215" s="373">
        <f t="shared" si="73"/>
        <v>0</v>
      </c>
      <c r="Y215" s="382">
        <v>0</v>
      </c>
    </row>
    <row r="216" spans="1:26" ht="13.5" thickBot="1" x14ac:dyDescent="0.25">
      <c r="A216" s="379" t="s">
        <v>116</v>
      </c>
      <c r="B216" s="374">
        <f t="shared" ref="B216:V216" si="74">(C215+B215)*(C214-B214)/2</f>
        <v>0.41899999999999998</v>
      </c>
      <c r="C216" s="375">
        <f t="shared" si="74"/>
        <v>0.66999999999999993</v>
      </c>
      <c r="D216" s="375">
        <f t="shared" si="74"/>
        <v>1.0440000000000003</v>
      </c>
      <c r="E216" s="375">
        <f t="shared" si="74"/>
        <v>2.2939999999999996</v>
      </c>
      <c r="F216" s="375">
        <f t="shared" si="74"/>
        <v>1.9540000000000004</v>
      </c>
      <c r="G216" s="375">
        <f t="shared" si="74"/>
        <v>5.859</v>
      </c>
      <c r="H216" s="375">
        <f t="shared" si="74"/>
        <v>2.5634999999999999</v>
      </c>
      <c r="I216" s="375">
        <f t="shared" si="74"/>
        <v>1.7410000000000019</v>
      </c>
      <c r="J216" s="375">
        <f>(K215+J215)*(K214-J214)/2</f>
        <v>8.9399999999999977</v>
      </c>
      <c r="K216" s="375">
        <f t="shared" si="74"/>
        <v>9.2400000000000038</v>
      </c>
      <c r="L216" s="375">
        <f t="shared" si="74"/>
        <v>9.4599999999999973</v>
      </c>
      <c r="M216" s="375">
        <f t="shared" si="74"/>
        <v>9.6049999999999969</v>
      </c>
      <c r="N216" s="375">
        <f t="shared" si="74"/>
        <v>9.7199999999999971</v>
      </c>
      <c r="O216" s="375">
        <f t="shared" si="74"/>
        <v>12.348000000000001</v>
      </c>
      <c r="P216" s="375">
        <f t="shared" si="74"/>
        <v>6.5560000000000063</v>
      </c>
      <c r="Q216" s="375">
        <f t="shared" si="74"/>
        <v>0.38499999999999973</v>
      </c>
      <c r="R216" s="375">
        <f t="shared" si="74"/>
        <v>0</v>
      </c>
      <c r="S216" s="375">
        <f>(T215+S215)*(T214-S214)/2</f>
        <v>0</v>
      </c>
      <c r="T216" s="375">
        <f t="shared" si="74"/>
        <v>0</v>
      </c>
      <c r="U216" s="375">
        <f t="shared" si="74"/>
        <v>0</v>
      </c>
      <c r="V216" s="375">
        <f t="shared" si="74"/>
        <v>0</v>
      </c>
      <c r="W216" s="375">
        <f>(X215+W215)*(X214-W214)/2</f>
        <v>0</v>
      </c>
      <c r="X216" s="375">
        <f>(Y215+X215)*(Y214-X214)/2</f>
        <v>0</v>
      </c>
      <c r="Y216" s="369"/>
    </row>
    <row r="217" spans="1:26" ht="13.5" thickBot="1" x14ac:dyDescent="0.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6" ht="13.5" thickBot="1" x14ac:dyDescent="0.25">
      <c r="A218" s="361" t="s">
        <v>376</v>
      </c>
      <c r="B218" s="359">
        <f>ROW(A218)</f>
        <v>218</v>
      </c>
      <c r="C218" s="363" t="s">
        <v>115</v>
      </c>
      <c r="D218" s="353">
        <f>SUM(B221:Y221)</f>
        <v>98.257101163036367</v>
      </c>
      <c r="E218" s="363" t="s">
        <v>114</v>
      </c>
      <c r="F218" s="354">
        <f>D218/g/J218</f>
        <v>177.58890761893778</v>
      </c>
      <c r="G218" s="363" t="s">
        <v>56</v>
      </c>
      <c r="H218" s="64">
        <v>0.14319999999999999</v>
      </c>
      <c r="I218" s="363" t="s">
        <v>271</v>
      </c>
      <c r="J218" s="355">
        <f>H218-L218</f>
        <v>5.6399999999999992E-2</v>
      </c>
      <c r="K218" s="363" t="s">
        <v>272</v>
      </c>
      <c r="L218" s="64">
        <v>8.6800000000000002E-2</v>
      </c>
      <c r="M218" s="363" t="s">
        <v>57</v>
      </c>
      <c r="N218" s="65">
        <v>71</v>
      </c>
      <c r="O218" s="363" t="s">
        <v>59</v>
      </c>
      <c r="P218" s="65">
        <v>71</v>
      </c>
      <c r="Q218" s="363" t="s">
        <v>60</v>
      </c>
      <c r="R218" s="65">
        <v>142</v>
      </c>
      <c r="S218" s="363" t="s">
        <v>61</v>
      </c>
      <c r="T218" s="65">
        <v>29</v>
      </c>
      <c r="U218" s="363" t="s">
        <v>54</v>
      </c>
      <c r="V218" s="66" t="s">
        <v>119</v>
      </c>
      <c r="W218" s="463" t="s">
        <v>394</v>
      </c>
      <c r="X218" s="465">
        <v>1.1499999999999999</v>
      </c>
      <c r="Y218" s="463" t="s">
        <v>393</v>
      </c>
      <c r="Z218" s="358">
        <v>14</v>
      </c>
    </row>
    <row r="219" spans="1:26" x14ac:dyDescent="0.2">
      <c r="A219" s="362" t="s">
        <v>33</v>
      </c>
      <c r="B219" s="370">
        <v>0</v>
      </c>
      <c r="C219" s="371">
        <v>1.4999999999999999E-2</v>
      </c>
      <c r="D219" s="371">
        <v>0.03</v>
      </c>
      <c r="E219" s="371">
        <v>4.4999999999999998E-2</v>
      </c>
      <c r="F219" s="371">
        <v>0.06</v>
      </c>
      <c r="G219" s="371">
        <v>7.4999999999999997E-2</v>
      </c>
      <c r="H219" s="371">
        <v>0.09</v>
      </c>
      <c r="I219" s="371">
        <v>0.105</v>
      </c>
      <c r="J219" s="371">
        <v>0.12</v>
      </c>
      <c r="K219" s="371">
        <v>0.18</v>
      </c>
      <c r="L219" s="371">
        <v>0.24</v>
      </c>
      <c r="M219" s="371">
        <v>0.3</v>
      </c>
      <c r="N219" s="371">
        <v>0.48</v>
      </c>
      <c r="O219" s="371">
        <v>0.6</v>
      </c>
      <c r="P219" s="371">
        <v>0.66</v>
      </c>
      <c r="Q219" s="371">
        <v>0.72</v>
      </c>
      <c r="R219" s="371">
        <v>0.78</v>
      </c>
      <c r="S219" s="371">
        <v>0.84</v>
      </c>
      <c r="T219" s="371">
        <v>0.9</v>
      </c>
      <c r="U219" s="371">
        <v>0.96</v>
      </c>
      <c r="V219" s="371">
        <v>1.0349999999999999</v>
      </c>
      <c r="W219" s="371">
        <v>1.2</v>
      </c>
      <c r="X219" s="371">
        <v>2</v>
      </c>
      <c r="Y219" s="381">
        <v>1000</v>
      </c>
    </row>
    <row r="220" spans="1:26" x14ac:dyDescent="0.2">
      <c r="A220" s="378" t="s">
        <v>34</v>
      </c>
      <c r="B220" s="372">
        <v>0</v>
      </c>
      <c r="C220" s="376">
        <v>99.328788958822486</v>
      </c>
      <c r="D220" s="376">
        <v>109.07039432469</v>
      </c>
      <c r="E220" s="376">
        <v>65.255411286427503</v>
      </c>
      <c r="F220" s="376">
        <v>67.568486533117493</v>
      </c>
      <c r="G220" s="376">
        <v>73.929443461515007</v>
      </c>
      <c r="H220" s="376">
        <v>74.329783408057494</v>
      </c>
      <c r="I220" s="376">
        <v>78.1552540083525</v>
      </c>
      <c r="J220" s="376">
        <v>78.600076171177506</v>
      </c>
      <c r="K220" s="376">
        <v>82.203135690059995</v>
      </c>
      <c r="L220" s="376">
        <v>84.516210936749999</v>
      </c>
      <c r="M220" s="376">
        <v>88.51961040217499</v>
      </c>
      <c r="N220" s="376">
        <v>95.102978411984992</v>
      </c>
      <c r="O220" s="376">
        <v>95.547800574809997</v>
      </c>
      <c r="P220" s="376">
        <v>94.480227384029988</v>
      </c>
      <c r="Q220" s="376">
        <v>92.122669921057494</v>
      </c>
      <c r="R220" s="376">
        <v>90.743721216299988</v>
      </c>
      <c r="S220" s="376">
        <v>88.964432564999996</v>
      </c>
      <c r="T220" s="376">
        <v>85.405855262399996</v>
      </c>
      <c r="U220" s="376">
        <v>83.448637745970004</v>
      </c>
      <c r="V220" s="376">
        <v>88.074788239349999</v>
      </c>
      <c r="W220" s="376">
        <v>0</v>
      </c>
      <c r="X220" s="373">
        <v>0</v>
      </c>
      <c r="Y220" s="382">
        <v>0</v>
      </c>
    </row>
    <row r="221" spans="1:26" ht="13.5" thickBot="1" x14ac:dyDescent="0.25">
      <c r="A221" s="379" t="s">
        <v>116</v>
      </c>
      <c r="B221" s="374">
        <f t="shared" ref="B221:V221" si="75">(C220+B220)*(C219-B219)/2</f>
        <v>0.74496591719116867</v>
      </c>
      <c r="C221" s="375">
        <f t="shared" si="75"/>
        <v>1.5629938746263436</v>
      </c>
      <c r="D221" s="375">
        <f t="shared" si="75"/>
        <v>1.3074435420833814</v>
      </c>
      <c r="E221" s="375">
        <f t="shared" si="75"/>
        <v>0.99617923364658734</v>
      </c>
      <c r="F221" s="375">
        <f t="shared" si="75"/>
        <v>1.0612344749597438</v>
      </c>
      <c r="G221" s="375">
        <f t="shared" si="75"/>
        <v>1.1119442015217937</v>
      </c>
      <c r="H221" s="375">
        <f t="shared" si="75"/>
        <v>1.1436377806230749</v>
      </c>
      <c r="I221" s="375">
        <f t="shared" si="75"/>
        <v>1.175664976346475</v>
      </c>
      <c r="J221" s="375">
        <f>(K220+J220)*(K219-J219)/2</f>
        <v>4.824096355837125</v>
      </c>
      <c r="K221" s="375">
        <f t="shared" si="75"/>
        <v>5.0015803988042995</v>
      </c>
      <c r="L221" s="375">
        <f t="shared" si="75"/>
        <v>5.1910746401677494</v>
      </c>
      <c r="M221" s="375">
        <f t="shared" si="75"/>
        <v>16.526032993274399</v>
      </c>
      <c r="N221" s="375">
        <f t="shared" si="75"/>
        <v>11.439046739207699</v>
      </c>
      <c r="O221" s="375">
        <f t="shared" si="75"/>
        <v>5.7008408387652043</v>
      </c>
      <c r="P221" s="375">
        <f t="shared" si="75"/>
        <v>5.5980869191526192</v>
      </c>
      <c r="Q221" s="375">
        <f t="shared" si="75"/>
        <v>5.4859917341207289</v>
      </c>
      <c r="R221" s="375">
        <f t="shared" si="75"/>
        <v>5.3912446134389942</v>
      </c>
      <c r="S221" s="375">
        <f>(T220+S220)*(T219-S219)/2</f>
        <v>5.2311086348220037</v>
      </c>
      <c r="T221" s="375">
        <f t="shared" si="75"/>
        <v>5.0656347902510959</v>
      </c>
      <c r="U221" s="375">
        <f t="shared" si="75"/>
        <v>6.4321284744494962</v>
      </c>
      <c r="V221" s="375">
        <f t="shared" si="75"/>
        <v>7.2661700297463767</v>
      </c>
      <c r="W221" s="375">
        <f>(X220+W220)*(X219-W219)/2</f>
        <v>0</v>
      </c>
      <c r="X221" s="375">
        <f>(Y220+X220)*(Y219-X219)/2</f>
        <v>0</v>
      </c>
      <c r="Y221" s="369"/>
    </row>
    <row r="222" spans="1:26" ht="13.5" thickBot="1" x14ac:dyDescent="0.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6" ht="13.5" thickBot="1" x14ac:dyDescent="0.25">
      <c r="A223" s="361" t="s">
        <v>377</v>
      </c>
      <c r="B223" s="359">
        <f>ROW(A223)</f>
        <v>223</v>
      </c>
      <c r="C223" s="363" t="s">
        <v>115</v>
      </c>
      <c r="D223" s="353">
        <f>SUM(B226:Y226)</f>
        <v>109.60639850000001</v>
      </c>
      <c r="E223" s="363" t="s">
        <v>114</v>
      </c>
      <c r="F223" s="354">
        <f>D223/g/J223</f>
        <v>194.31174666489383</v>
      </c>
      <c r="G223" s="363" t="s">
        <v>56</v>
      </c>
      <c r="H223" s="64">
        <v>0.14130000000000001</v>
      </c>
      <c r="I223" s="363" t="s">
        <v>271</v>
      </c>
      <c r="J223" s="355">
        <f>H223-L223</f>
        <v>5.7500000000000009E-2</v>
      </c>
      <c r="K223" s="363" t="s">
        <v>272</v>
      </c>
      <c r="L223" s="64">
        <v>8.3799999999999999E-2</v>
      </c>
      <c r="M223" s="363" t="s">
        <v>57</v>
      </c>
      <c r="N223" s="65">
        <v>71</v>
      </c>
      <c r="O223" s="363" t="s">
        <v>59</v>
      </c>
      <c r="P223" s="65">
        <v>71</v>
      </c>
      <c r="Q223" s="363" t="s">
        <v>60</v>
      </c>
      <c r="R223" s="65">
        <v>142</v>
      </c>
      <c r="S223" s="363" t="s">
        <v>61</v>
      </c>
      <c r="T223" s="65">
        <v>29</v>
      </c>
      <c r="U223" s="363" t="s">
        <v>54</v>
      </c>
      <c r="V223" s="66" t="s">
        <v>401</v>
      </c>
      <c r="W223" s="463" t="s">
        <v>394</v>
      </c>
      <c r="X223" s="465">
        <v>0.45</v>
      </c>
      <c r="Y223" s="463" t="s">
        <v>393</v>
      </c>
      <c r="Z223" s="358">
        <v>14</v>
      </c>
    </row>
    <row r="224" spans="1:26" x14ac:dyDescent="0.2">
      <c r="A224" s="362" t="s">
        <v>33</v>
      </c>
      <c r="B224" s="370">
        <v>0</v>
      </c>
      <c r="C224" s="371">
        <v>6.0000000000000001E-3</v>
      </c>
      <c r="D224" s="371">
        <v>1.0999999999999999E-2</v>
      </c>
      <c r="E224" s="371">
        <v>1.6E-2</v>
      </c>
      <c r="F224" s="371">
        <v>3.1E-2</v>
      </c>
      <c r="G224" s="371">
        <v>7.4999999999999997E-2</v>
      </c>
      <c r="H224" s="371">
        <v>0.122</v>
      </c>
      <c r="I224" s="371">
        <v>0.216</v>
      </c>
      <c r="J224" s="371">
        <v>0.25</v>
      </c>
      <c r="K224" s="371">
        <v>0.28699999999999998</v>
      </c>
      <c r="L224" s="371">
        <v>0.35399999999999998</v>
      </c>
      <c r="M224" s="371">
        <v>0.374</v>
      </c>
      <c r="N224" s="371">
        <v>0.4</v>
      </c>
      <c r="O224" s="371">
        <v>0.41299999999999998</v>
      </c>
      <c r="P224" s="371">
        <v>0.42</v>
      </c>
      <c r="Q224" s="371">
        <v>0.433</v>
      </c>
      <c r="R224" s="371">
        <v>0.44500000000000001</v>
      </c>
      <c r="S224" s="371">
        <v>0.45400000000000001</v>
      </c>
      <c r="T224" s="371">
        <f t="shared" ref="T224:X225" si="76">S224</f>
        <v>0.45400000000000001</v>
      </c>
      <c r="U224" s="371">
        <f t="shared" si="76"/>
        <v>0.45400000000000001</v>
      </c>
      <c r="V224" s="371">
        <f t="shared" si="76"/>
        <v>0.45400000000000001</v>
      </c>
      <c r="W224" s="371">
        <f t="shared" si="76"/>
        <v>0.45400000000000001</v>
      </c>
      <c r="X224" s="371">
        <v>2</v>
      </c>
      <c r="Y224" s="381">
        <v>1000</v>
      </c>
    </row>
    <row r="225" spans="1:26" x14ac:dyDescent="0.2">
      <c r="A225" s="378" t="s">
        <v>34</v>
      </c>
      <c r="B225" s="372">
        <v>0</v>
      </c>
      <c r="C225" s="373">
        <v>151.62100000000001</v>
      </c>
      <c r="D225" s="373">
        <v>198.07900000000001</v>
      </c>
      <c r="E225" s="373">
        <v>203.12100000000001</v>
      </c>
      <c r="F225" s="373">
        <v>201.68100000000001</v>
      </c>
      <c r="G225" s="373">
        <v>226.17</v>
      </c>
      <c r="H225" s="373">
        <v>250.3</v>
      </c>
      <c r="I225" s="373">
        <v>280.19200000000001</v>
      </c>
      <c r="J225" s="373">
        <v>287.03500000000003</v>
      </c>
      <c r="K225" s="373">
        <v>284.87400000000002</v>
      </c>
      <c r="L225" s="373">
        <v>269.74799999999999</v>
      </c>
      <c r="M225" s="373">
        <v>258.58300000000003</v>
      </c>
      <c r="N225" s="373">
        <v>233.37299999999999</v>
      </c>
      <c r="O225" s="373">
        <v>234.09399999999999</v>
      </c>
      <c r="P225" s="373">
        <v>227.61099999999999</v>
      </c>
      <c r="Q225" s="373">
        <v>137.935</v>
      </c>
      <c r="R225" s="373">
        <v>33.853999999999999</v>
      </c>
      <c r="S225" s="373">
        <v>0</v>
      </c>
      <c r="T225" s="373">
        <f t="shared" si="76"/>
        <v>0</v>
      </c>
      <c r="U225" s="373">
        <f t="shared" si="76"/>
        <v>0</v>
      </c>
      <c r="V225" s="373">
        <f t="shared" si="76"/>
        <v>0</v>
      </c>
      <c r="W225" s="373">
        <f t="shared" si="76"/>
        <v>0</v>
      </c>
      <c r="X225" s="373">
        <f t="shared" si="76"/>
        <v>0</v>
      </c>
      <c r="Y225" s="382">
        <v>0</v>
      </c>
    </row>
    <row r="226" spans="1:26" ht="13.5" thickBot="1" x14ac:dyDescent="0.25">
      <c r="A226" s="379" t="s">
        <v>116</v>
      </c>
      <c r="B226" s="374">
        <f t="shared" ref="B226:X226" si="77">(C225+B225)*(C224-B224)/2</f>
        <v>0.45486300000000002</v>
      </c>
      <c r="C226" s="375">
        <f t="shared" si="77"/>
        <v>0.87424999999999997</v>
      </c>
      <c r="D226" s="375">
        <f t="shared" si="77"/>
        <v>1.0030000000000003</v>
      </c>
      <c r="E226" s="375">
        <f t="shared" si="77"/>
        <v>3.0360149999999999</v>
      </c>
      <c r="F226" s="375">
        <f t="shared" si="77"/>
        <v>9.4127219999999987</v>
      </c>
      <c r="G226" s="375">
        <f t="shared" si="77"/>
        <v>11.197045000000001</v>
      </c>
      <c r="H226" s="375">
        <f t="shared" si="77"/>
        <v>24.933123999999999</v>
      </c>
      <c r="I226" s="375">
        <f t="shared" si="77"/>
        <v>9.6428590000000014</v>
      </c>
      <c r="J226" s="375">
        <f t="shared" si="77"/>
        <v>10.580316499999995</v>
      </c>
      <c r="K226" s="375">
        <f t="shared" si="77"/>
        <v>18.579837000000005</v>
      </c>
      <c r="L226" s="375">
        <f t="shared" si="77"/>
        <v>5.2833100000000046</v>
      </c>
      <c r="M226" s="375">
        <f t="shared" si="77"/>
        <v>6.3954280000000061</v>
      </c>
      <c r="N226" s="375">
        <f t="shared" si="77"/>
        <v>3.0385354999999898</v>
      </c>
      <c r="O226" s="375">
        <f t="shared" si="77"/>
        <v>1.6159675000000013</v>
      </c>
      <c r="P226" s="375">
        <f t="shared" si="77"/>
        <v>2.3760490000000019</v>
      </c>
      <c r="Q226" s="375">
        <f t="shared" si="77"/>
        <v>1.0307340000000009</v>
      </c>
      <c r="R226" s="375">
        <f t="shared" si="77"/>
        <v>0.15234300000000014</v>
      </c>
      <c r="S226" s="375">
        <f t="shared" si="77"/>
        <v>0</v>
      </c>
      <c r="T226" s="375">
        <f t="shared" si="77"/>
        <v>0</v>
      </c>
      <c r="U226" s="375">
        <f t="shared" si="77"/>
        <v>0</v>
      </c>
      <c r="V226" s="375">
        <f t="shared" si="77"/>
        <v>0</v>
      </c>
      <c r="W226" s="375">
        <f t="shared" si="77"/>
        <v>0</v>
      </c>
      <c r="X226" s="375">
        <f t="shared" si="77"/>
        <v>0</v>
      </c>
      <c r="Y226" s="369"/>
    </row>
    <row r="227" spans="1:26" ht="13.5" thickBot="1" x14ac:dyDescent="0.2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6" ht="13.5" thickBot="1" x14ac:dyDescent="0.25">
      <c r="A228" s="361" t="s">
        <v>378</v>
      </c>
      <c r="B228" s="359">
        <f>ROW(A228)</f>
        <v>228</v>
      </c>
      <c r="C228" s="363" t="s">
        <v>115</v>
      </c>
      <c r="D228" s="353">
        <f>SUM(B231:Y231)</f>
        <v>115.63</v>
      </c>
      <c r="E228" s="363" t="s">
        <v>114</v>
      </c>
      <c r="F228" s="354">
        <f>D228/g/J228</f>
        <v>199.77884897804037</v>
      </c>
      <c r="G228" s="363" t="s">
        <v>56</v>
      </c>
      <c r="H228" s="64">
        <v>0.14499999999999999</v>
      </c>
      <c r="I228" s="363" t="s">
        <v>271</v>
      </c>
      <c r="J228" s="355">
        <f>H228-L228</f>
        <v>5.8999999999999997E-2</v>
      </c>
      <c r="K228" s="363" t="s">
        <v>272</v>
      </c>
      <c r="L228" s="64">
        <v>8.5999999999999993E-2</v>
      </c>
      <c r="M228" s="363" t="s">
        <v>57</v>
      </c>
      <c r="N228" s="65">
        <v>71</v>
      </c>
      <c r="O228" s="363" t="s">
        <v>59</v>
      </c>
      <c r="P228" s="65">
        <v>71</v>
      </c>
      <c r="Q228" s="363" t="s">
        <v>60</v>
      </c>
      <c r="R228" s="65">
        <v>142</v>
      </c>
      <c r="S228" s="363" t="s">
        <v>61</v>
      </c>
      <c r="T228" s="65">
        <v>29</v>
      </c>
      <c r="U228" s="363" t="s">
        <v>54</v>
      </c>
      <c r="V228" s="66" t="s">
        <v>400</v>
      </c>
      <c r="W228" s="463" t="s">
        <v>394</v>
      </c>
      <c r="X228" s="465">
        <v>0.93</v>
      </c>
      <c r="Y228" s="463" t="s">
        <v>393</v>
      </c>
      <c r="Z228" s="358">
        <v>13</v>
      </c>
    </row>
    <row r="229" spans="1:26" x14ac:dyDescent="0.2">
      <c r="A229" s="362" t="s">
        <v>33</v>
      </c>
      <c r="B229" s="370">
        <v>0</v>
      </c>
      <c r="C229" s="371">
        <v>0.01</v>
      </c>
      <c r="D229" s="371">
        <v>0.02</v>
      </c>
      <c r="E229" s="371">
        <v>0.03</v>
      </c>
      <c r="F229" s="371">
        <v>0.04</v>
      </c>
      <c r="G229" s="371">
        <v>0.05</v>
      </c>
      <c r="H229" s="371">
        <v>0.1</v>
      </c>
      <c r="I229" s="371">
        <v>0.2</v>
      </c>
      <c r="J229" s="371">
        <v>0.3</v>
      </c>
      <c r="K229" s="371">
        <v>0.4</v>
      </c>
      <c r="L229" s="371">
        <v>0.6</v>
      </c>
      <c r="M229" s="371">
        <v>0.75</v>
      </c>
      <c r="N229" s="371">
        <v>0.81</v>
      </c>
      <c r="O229" s="371">
        <v>0.86</v>
      </c>
      <c r="P229" s="371">
        <v>0.9</v>
      </c>
      <c r="Q229" s="371">
        <v>0.95</v>
      </c>
      <c r="R229" s="371">
        <v>1</v>
      </c>
      <c r="S229" s="371">
        <v>1</v>
      </c>
      <c r="T229" s="371">
        <v>1</v>
      </c>
      <c r="U229" s="371">
        <v>1</v>
      </c>
      <c r="V229" s="371">
        <v>1</v>
      </c>
      <c r="W229" s="371">
        <v>1</v>
      </c>
      <c r="X229" s="371">
        <v>2</v>
      </c>
      <c r="Y229" s="381">
        <v>1000</v>
      </c>
    </row>
    <row r="230" spans="1:26" x14ac:dyDescent="0.2">
      <c r="A230" s="378" t="s">
        <v>34</v>
      </c>
      <c r="B230" s="372">
        <v>0</v>
      </c>
      <c r="C230" s="376">
        <v>55</v>
      </c>
      <c r="D230" s="376">
        <v>168</v>
      </c>
      <c r="E230" s="376">
        <v>157</v>
      </c>
      <c r="F230" s="376">
        <v>148</v>
      </c>
      <c r="G230" s="376">
        <v>125</v>
      </c>
      <c r="H230" s="376">
        <v>135</v>
      </c>
      <c r="I230" s="376">
        <v>141</v>
      </c>
      <c r="J230" s="376">
        <v>142</v>
      </c>
      <c r="K230" s="376">
        <v>141</v>
      </c>
      <c r="L230" s="376">
        <v>133</v>
      </c>
      <c r="M230" s="376">
        <v>127</v>
      </c>
      <c r="N230" s="376">
        <v>128</v>
      </c>
      <c r="O230" s="376">
        <v>60</v>
      </c>
      <c r="P230" s="376">
        <v>15</v>
      </c>
      <c r="Q230" s="376">
        <v>0</v>
      </c>
      <c r="R230" s="376">
        <v>0</v>
      </c>
      <c r="S230" s="376">
        <v>0</v>
      </c>
      <c r="T230" s="376">
        <v>0</v>
      </c>
      <c r="U230" s="376">
        <v>0</v>
      </c>
      <c r="V230" s="376">
        <v>0</v>
      </c>
      <c r="W230" s="376">
        <v>0</v>
      </c>
      <c r="X230" s="373">
        <v>0</v>
      </c>
      <c r="Y230" s="382">
        <v>0</v>
      </c>
    </row>
    <row r="231" spans="1:26" ht="13.5" thickBot="1" x14ac:dyDescent="0.25">
      <c r="A231" s="379" t="s">
        <v>116</v>
      </c>
      <c r="B231" s="374">
        <f t="shared" ref="B231:X231" si="78">(C230+B230)*(C229-B229)/2</f>
        <v>0.27500000000000002</v>
      </c>
      <c r="C231" s="375">
        <f t="shared" si="78"/>
        <v>1.115</v>
      </c>
      <c r="D231" s="375">
        <f t="shared" si="78"/>
        <v>1.6249999999999998</v>
      </c>
      <c r="E231" s="375">
        <f t="shared" si="78"/>
        <v>1.5250000000000004</v>
      </c>
      <c r="F231" s="375">
        <f t="shared" si="78"/>
        <v>1.3650000000000002</v>
      </c>
      <c r="G231" s="375">
        <f t="shared" si="78"/>
        <v>6.5</v>
      </c>
      <c r="H231" s="375">
        <f t="shared" si="78"/>
        <v>13.8</v>
      </c>
      <c r="I231" s="375">
        <f t="shared" si="78"/>
        <v>14.149999999999997</v>
      </c>
      <c r="J231" s="375">
        <f t="shared" si="78"/>
        <v>14.150000000000004</v>
      </c>
      <c r="K231" s="375">
        <f t="shared" si="78"/>
        <v>27.399999999999995</v>
      </c>
      <c r="L231" s="375">
        <f t="shared" si="78"/>
        <v>19.500000000000004</v>
      </c>
      <c r="M231" s="375">
        <f t="shared" si="78"/>
        <v>7.6500000000000066</v>
      </c>
      <c r="N231" s="375">
        <f t="shared" si="78"/>
        <v>4.699999999999994</v>
      </c>
      <c r="O231" s="375">
        <f t="shared" si="78"/>
        <v>1.5000000000000013</v>
      </c>
      <c r="P231" s="375">
        <f t="shared" si="78"/>
        <v>0.3749999999999995</v>
      </c>
      <c r="Q231" s="375">
        <f t="shared" si="78"/>
        <v>0</v>
      </c>
      <c r="R231" s="375">
        <f t="shared" si="78"/>
        <v>0</v>
      </c>
      <c r="S231" s="375">
        <f t="shared" si="78"/>
        <v>0</v>
      </c>
      <c r="T231" s="375">
        <f t="shared" si="78"/>
        <v>0</v>
      </c>
      <c r="U231" s="375">
        <f t="shared" si="78"/>
        <v>0</v>
      </c>
      <c r="V231" s="375">
        <f t="shared" si="78"/>
        <v>0</v>
      </c>
      <c r="W231" s="375">
        <f t="shared" si="78"/>
        <v>0</v>
      </c>
      <c r="X231" s="375">
        <f t="shared" si="78"/>
        <v>0</v>
      </c>
      <c r="Y231" s="369"/>
    </row>
    <row r="232" spans="1:26" ht="13.5" thickBot="1" x14ac:dyDescent="0.25">
      <c r="A232" s="6" t="s">
        <v>386</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6" ht="13.5" thickBot="1" x14ac:dyDescent="0.25">
      <c r="A233" s="361" t="s">
        <v>387</v>
      </c>
      <c r="B233" s="359">
        <f>ROW(A233)</f>
        <v>233</v>
      </c>
      <c r="C233" s="363" t="s">
        <v>115</v>
      </c>
      <c r="D233" s="353">
        <f>SUM(B236:Y236)</f>
        <v>115.63</v>
      </c>
      <c r="E233" s="363" t="s">
        <v>114</v>
      </c>
      <c r="F233" s="354">
        <f>D233/g/J233</f>
        <v>125.39310733728064</v>
      </c>
      <c r="G233" s="363" t="s">
        <v>56</v>
      </c>
      <c r="H233" s="64">
        <v>0.2</v>
      </c>
      <c r="I233" s="363" t="s">
        <v>271</v>
      </c>
      <c r="J233" s="355">
        <f>H233-L233</f>
        <v>9.4000000000000014E-2</v>
      </c>
      <c r="K233" s="363" t="s">
        <v>272</v>
      </c>
      <c r="L233" s="64">
        <v>0.106</v>
      </c>
      <c r="M233" s="363" t="s">
        <v>57</v>
      </c>
      <c r="N233" s="65">
        <v>93</v>
      </c>
      <c r="O233" s="363" t="s">
        <v>59</v>
      </c>
      <c r="P233" s="65">
        <v>93</v>
      </c>
      <c r="Q233" s="363" t="s">
        <v>60</v>
      </c>
      <c r="R233" s="65">
        <v>187</v>
      </c>
      <c r="S233" s="363" t="s">
        <v>61</v>
      </c>
      <c r="T233" s="65">
        <v>29</v>
      </c>
      <c r="U233" s="363" t="s">
        <v>54</v>
      </c>
      <c r="V233" s="66" t="s">
        <v>119</v>
      </c>
      <c r="W233" s="463" t="s">
        <v>394</v>
      </c>
      <c r="X233" s="465">
        <v>0.96</v>
      </c>
      <c r="Y233" s="463" t="s">
        <v>393</v>
      </c>
      <c r="Z233" s="358">
        <v>14</v>
      </c>
    </row>
    <row r="234" spans="1:26" x14ac:dyDescent="0.2">
      <c r="A234" s="362" t="s">
        <v>33</v>
      </c>
      <c r="B234" s="370">
        <v>0</v>
      </c>
      <c r="C234" s="371">
        <v>0.01</v>
      </c>
      <c r="D234" s="371">
        <v>0.02</v>
      </c>
      <c r="E234" s="371">
        <v>0.03</v>
      </c>
      <c r="F234" s="371">
        <v>0.04</v>
      </c>
      <c r="G234" s="371">
        <v>0.05</v>
      </c>
      <c r="H234" s="371">
        <v>0.1</v>
      </c>
      <c r="I234" s="371">
        <v>0.2</v>
      </c>
      <c r="J234" s="371">
        <v>0.3</v>
      </c>
      <c r="K234" s="371">
        <v>0.4</v>
      </c>
      <c r="L234" s="371">
        <v>0.6</v>
      </c>
      <c r="M234" s="371">
        <v>0.75</v>
      </c>
      <c r="N234" s="371">
        <v>0.81</v>
      </c>
      <c r="O234" s="371">
        <v>0.86</v>
      </c>
      <c r="P234" s="371">
        <v>0.9</v>
      </c>
      <c r="Q234" s="371">
        <v>0.95</v>
      </c>
      <c r="R234" s="371">
        <v>1</v>
      </c>
      <c r="S234" s="371">
        <f t="shared" ref="S234:X235" si="79">R234</f>
        <v>1</v>
      </c>
      <c r="T234" s="371">
        <f t="shared" si="79"/>
        <v>1</v>
      </c>
      <c r="U234" s="371">
        <f t="shared" si="79"/>
        <v>1</v>
      </c>
      <c r="V234" s="371">
        <f t="shared" si="79"/>
        <v>1</v>
      </c>
      <c r="W234" s="371">
        <f t="shared" si="79"/>
        <v>1</v>
      </c>
      <c r="X234" s="371">
        <v>2</v>
      </c>
      <c r="Y234" s="381">
        <v>1000</v>
      </c>
    </row>
    <row r="235" spans="1:26" x14ac:dyDescent="0.2">
      <c r="A235" s="378" t="s">
        <v>34</v>
      </c>
      <c r="B235" s="372">
        <v>0</v>
      </c>
      <c r="C235" s="373">
        <v>55</v>
      </c>
      <c r="D235" s="373">
        <v>168</v>
      </c>
      <c r="E235" s="373">
        <v>157</v>
      </c>
      <c r="F235" s="373">
        <v>148</v>
      </c>
      <c r="G235" s="373">
        <v>125</v>
      </c>
      <c r="H235" s="373">
        <v>135</v>
      </c>
      <c r="I235" s="373">
        <v>141</v>
      </c>
      <c r="J235" s="373">
        <v>142</v>
      </c>
      <c r="K235" s="373">
        <v>141</v>
      </c>
      <c r="L235" s="373">
        <v>133</v>
      </c>
      <c r="M235" s="373">
        <v>127</v>
      </c>
      <c r="N235" s="373">
        <v>128</v>
      </c>
      <c r="O235" s="373">
        <v>60</v>
      </c>
      <c r="P235" s="373">
        <v>15</v>
      </c>
      <c r="Q235" s="373">
        <v>0</v>
      </c>
      <c r="R235" s="373">
        <v>0</v>
      </c>
      <c r="S235" s="373">
        <f t="shared" si="79"/>
        <v>0</v>
      </c>
      <c r="T235" s="373">
        <f t="shared" si="79"/>
        <v>0</v>
      </c>
      <c r="U235" s="373">
        <f t="shared" si="79"/>
        <v>0</v>
      </c>
      <c r="V235" s="373">
        <f t="shared" si="79"/>
        <v>0</v>
      </c>
      <c r="W235" s="373">
        <f t="shared" si="79"/>
        <v>0</v>
      </c>
      <c r="X235" s="373">
        <f t="shared" si="79"/>
        <v>0</v>
      </c>
      <c r="Y235" s="382">
        <v>0</v>
      </c>
    </row>
    <row r="236" spans="1:26" ht="13.5" thickBot="1" x14ac:dyDescent="0.25">
      <c r="A236" s="379" t="s">
        <v>116</v>
      </c>
      <c r="B236" s="374">
        <f t="shared" ref="B236:X236" si="80">(C235+B235)*(C234-B234)/2</f>
        <v>0.27500000000000002</v>
      </c>
      <c r="C236" s="375">
        <f t="shared" si="80"/>
        <v>1.115</v>
      </c>
      <c r="D236" s="375">
        <f t="shared" si="80"/>
        <v>1.6249999999999998</v>
      </c>
      <c r="E236" s="375">
        <f t="shared" si="80"/>
        <v>1.5250000000000004</v>
      </c>
      <c r="F236" s="375">
        <f t="shared" si="80"/>
        <v>1.3650000000000002</v>
      </c>
      <c r="G236" s="375">
        <f t="shared" si="80"/>
        <v>6.5</v>
      </c>
      <c r="H236" s="375">
        <f t="shared" si="80"/>
        <v>13.8</v>
      </c>
      <c r="I236" s="375">
        <f t="shared" si="80"/>
        <v>14.149999999999997</v>
      </c>
      <c r="J236" s="375">
        <f t="shared" si="80"/>
        <v>14.150000000000004</v>
      </c>
      <c r="K236" s="375">
        <f t="shared" si="80"/>
        <v>27.399999999999995</v>
      </c>
      <c r="L236" s="375">
        <f t="shared" si="80"/>
        <v>19.500000000000004</v>
      </c>
      <c r="M236" s="375">
        <f t="shared" si="80"/>
        <v>7.6500000000000066</v>
      </c>
      <c r="N236" s="375">
        <f t="shared" si="80"/>
        <v>4.699999999999994</v>
      </c>
      <c r="O236" s="375">
        <f t="shared" si="80"/>
        <v>1.5000000000000013</v>
      </c>
      <c r="P236" s="375">
        <f t="shared" si="80"/>
        <v>0.3749999999999995</v>
      </c>
      <c r="Q236" s="375">
        <f t="shared" si="80"/>
        <v>0</v>
      </c>
      <c r="R236" s="375">
        <f t="shared" si="80"/>
        <v>0</v>
      </c>
      <c r="S236" s="375">
        <f t="shared" si="80"/>
        <v>0</v>
      </c>
      <c r="T236" s="375">
        <f t="shared" si="80"/>
        <v>0</v>
      </c>
      <c r="U236" s="375">
        <f t="shared" si="80"/>
        <v>0</v>
      </c>
      <c r="V236" s="375">
        <f t="shared" si="80"/>
        <v>0</v>
      </c>
      <c r="W236" s="375">
        <f t="shared" si="80"/>
        <v>0</v>
      </c>
      <c r="X236" s="375">
        <f t="shared" si="80"/>
        <v>0</v>
      </c>
      <c r="Y236" s="369"/>
    </row>
    <row r="237" spans="1:26" ht="13.5" thickBot="1" x14ac:dyDescent="0.2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6" ht="13.5" thickBot="1" x14ac:dyDescent="0.25">
      <c r="A238" s="361" t="s">
        <v>392</v>
      </c>
      <c r="B238" s="359">
        <f>ROW(A238)</f>
        <v>238</v>
      </c>
      <c r="C238" s="363" t="s">
        <v>115</v>
      </c>
      <c r="D238" s="353">
        <f>SUM(B241:Y241)</f>
        <v>158.04815100000002</v>
      </c>
      <c r="E238" s="363" t="s">
        <v>114</v>
      </c>
      <c r="F238" s="354">
        <v>198</v>
      </c>
      <c r="G238" s="363" t="s">
        <v>56</v>
      </c>
      <c r="H238" s="64">
        <v>0.19450000000000001</v>
      </c>
      <c r="I238" s="363" t="s">
        <v>271</v>
      </c>
      <c r="J238" s="355">
        <f>H238-L238</f>
        <v>8.9600000000000013E-2</v>
      </c>
      <c r="K238" s="363" t="s">
        <v>272</v>
      </c>
      <c r="L238" s="64">
        <v>0.10489999999999999</v>
      </c>
      <c r="M238" s="363" t="s">
        <v>57</v>
      </c>
      <c r="N238" s="65">
        <v>93</v>
      </c>
      <c r="O238" s="363" t="s">
        <v>59</v>
      </c>
      <c r="P238" s="65">
        <v>93</v>
      </c>
      <c r="Q238" s="363" t="s">
        <v>60</v>
      </c>
      <c r="R238" s="65">
        <v>187</v>
      </c>
      <c r="S238" s="363" t="s">
        <v>61</v>
      </c>
      <c r="T238" s="65">
        <v>29</v>
      </c>
      <c r="U238" s="363" t="s">
        <v>54</v>
      </c>
      <c r="V238" s="66" t="s">
        <v>119</v>
      </c>
      <c r="W238" s="463" t="s">
        <v>394</v>
      </c>
      <c r="X238" s="465">
        <v>1.27</v>
      </c>
      <c r="Y238" s="463" t="s">
        <v>393</v>
      </c>
      <c r="Z238" s="358">
        <v>14</v>
      </c>
    </row>
    <row r="239" spans="1:26" x14ac:dyDescent="0.2">
      <c r="A239" s="362" t="s">
        <v>33</v>
      </c>
      <c r="B239" s="471">
        <v>0</v>
      </c>
      <c r="C239" s="471">
        <v>4.0000000000000001E-3</v>
      </c>
      <c r="D239" s="471">
        <v>2.1999999999999999E-2</v>
      </c>
      <c r="E239" s="471">
        <v>3.9E-2</v>
      </c>
      <c r="F239" s="471">
        <v>0.122</v>
      </c>
      <c r="G239" s="471">
        <v>0.23599999999999999</v>
      </c>
      <c r="H239" s="471">
        <v>0.58899999999999997</v>
      </c>
      <c r="I239" s="471">
        <v>0.80100000000000005</v>
      </c>
      <c r="J239" s="471">
        <v>1.0680000000000001</v>
      </c>
      <c r="K239" s="471">
        <v>1.1180000000000001</v>
      </c>
      <c r="L239" s="471">
        <v>1.145</v>
      </c>
      <c r="M239" s="471">
        <v>1.1739999999999999</v>
      </c>
      <c r="N239" s="471">
        <v>1.2110000000000001</v>
      </c>
      <c r="O239" s="471">
        <v>1.2470000000000001</v>
      </c>
      <c r="P239" s="471">
        <v>1.2989999999999999</v>
      </c>
      <c r="Q239" s="371">
        <v>2</v>
      </c>
      <c r="R239" s="371">
        <v>2</v>
      </c>
      <c r="S239" s="371">
        <f t="shared" ref="S239:X240" si="81">R239</f>
        <v>2</v>
      </c>
      <c r="T239" s="371">
        <f t="shared" si="81"/>
        <v>2</v>
      </c>
      <c r="U239" s="371">
        <f t="shared" si="81"/>
        <v>2</v>
      </c>
      <c r="V239" s="371">
        <f t="shared" si="81"/>
        <v>2</v>
      </c>
      <c r="W239" s="371">
        <f t="shared" si="81"/>
        <v>2</v>
      </c>
      <c r="X239" s="371">
        <f t="shared" si="81"/>
        <v>2</v>
      </c>
      <c r="Y239" s="381">
        <v>1000</v>
      </c>
    </row>
    <row r="240" spans="1:26" x14ac:dyDescent="0.2">
      <c r="A240" s="378" t="s">
        <v>34</v>
      </c>
      <c r="B240" s="471">
        <v>0</v>
      </c>
      <c r="C240" s="471">
        <v>15.683</v>
      </c>
      <c r="D240" s="471">
        <v>170.834</v>
      </c>
      <c r="E240" s="471">
        <v>116.877</v>
      </c>
      <c r="F240" s="471">
        <v>142.642</v>
      </c>
      <c r="G240" s="471">
        <v>149.73699999999999</v>
      </c>
      <c r="H240" s="471">
        <v>142.642</v>
      </c>
      <c r="I240" s="471">
        <v>131.25299999999999</v>
      </c>
      <c r="J240" s="471">
        <v>122.104</v>
      </c>
      <c r="K240" s="471">
        <v>107.91500000000001</v>
      </c>
      <c r="L240" s="471">
        <v>78.415999999999997</v>
      </c>
      <c r="M240" s="471">
        <v>43.128999999999998</v>
      </c>
      <c r="N240" s="471">
        <v>21.471</v>
      </c>
      <c r="O240" s="471">
        <v>8.7750000000000004</v>
      </c>
      <c r="P240" s="471">
        <v>0</v>
      </c>
      <c r="Q240" s="373">
        <v>0</v>
      </c>
      <c r="R240" s="373">
        <v>0</v>
      </c>
      <c r="S240" s="373">
        <f t="shared" si="81"/>
        <v>0</v>
      </c>
      <c r="T240" s="373">
        <f t="shared" si="81"/>
        <v>0</v>
      </c>
      <c r="U240" s="373">
        <f t="shared" si="81"/>
        <v>0</v>
      </c>
      <c r="V240" s="373">
        <f t="shared" si="81"/>
        <v>0</v>
      </c>
      <c r="W240" s="373">
        <f t="shared" si="81"/>
        <v>0</v>
      </c>
      <c r="X240" s="373">
        <f t="shared" si="81"/>
        <v>0</v>
      </c>
      <c r="Y240" s="382">
        <v>0</v>
      </c>
    </row>
    <row r="241" spans="1:26" ht="13.5" thickBot="1" x14ac:dyDescent="0.25">
      <c r="A241" s="379" t="s">
        <v>116</v>
      </c>
      <c r="B241" s="374">
        <f t="shared" ref="B241:X241" si="82">(C240+B240)*(C239-B239)/2</f>
        <v>3.1365999999999998E-2</v>
      </c>
      <c r="C241" s="375">
        <f t="shared" si="82"/>
        <v>1.6786529999999997</v>
      </c>
      <c r="D241" s="375">
        <f t="shared" si="82"/>
        <v>2.4455435000000003</v>
      </c>
      <c r="E241" s="375">
        <f t="shared" si="82"/>
        <v>10.770038499999998</v>
      </c>
      <c r="F241" s="375">
        <f t="shared" si="82"/>
        <v>16.665603000000001</v>
      </c>
      <c r="G241" s="375">
        <f t="shared" si="82"/>
        <v>51.604893500000003</v>
      </c>
      <c r="H241" s="375">
        <f t="shared" si="82"/>
        <v>29.03287000000001</v>
      </c>
      <c r="I241" s="375">
        <f t="shared" si="82"/>
        <v>33.823159499999996</v>
      </c>
      <c r="J241" s="375">
        <f t="shared" si="82"/>
        <v>5.7504750000000051</v>
      </c>
      <c r="K241" s="375">
        <f t="shared" si="82"/>
        <v>2.5154684999999923</v>
      </c>
      <c r="L241" s="375">
        <f t="shared" si="82"/>
        <v>1.7624024999999945</v>
      </c>
      <c r="M241" s="375">
        <f t="shared" si="82"/>
        <v>1.1951000000000045</v>
      </c>
      <c r="N241" s="375">
        <f t="shared" si="82"/>
        <v>0.54442800000000058</v>
      </c>
      <c r="O241" s="375">
        <f t="shared" si="82"/>
        <v>0.22814999999999924</v>
      </c>
      <c r="P241" s="375">
        <f t="shared" si="82"/>
        <v>0</v>
      </c>
      <c r="Q241" s="375">
        <f t="shared" si="82"/>
        <v>0</v>
      </c>
      <c r="R241" s="375">
        <f t="shared" si="82"/>
        <v>0</v>
      </c>
      <c r="S241" s="375">
        <f t="shared" si="82"/>
        <v>0</v>
      </c>
      <c r="T241" s="375">
        <f t="shared" si="82"/>
        <v>0</v>
      </c>
      <c r="U241" s="375">
        <f t="shared" si="82"/>
        <v>0</v>
      </c>
      <c r="V241" s="375">
        <f t="shared" si="82"/>
        <v>0</v>
      </c>
      <c r="W241" s="375">
        <f t="shared" si="82"/>
        <v>0</v>
      </c>
      <c r="X241" s="375">
        <f t="shared" si="82"/>
        <v>0</v>
      </c>
      <c r="Y241" s="369"/>
    </row>
    <row r="242" spans="1:26" ht="13.5" thickBot="1" x14ac:dyDescent="0.25">
      <c r="A242" s="6" t="s">
        <v>374</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6" ht="13.5" thickBot="1" x14ac:dyDescent="0.25">
      <c r="A243" s="361" t="s">
        <v>379</v>
      </c>
      <c r="B243" s="359">
        <f>ROW(A243)</f>
        <v>243</v>
      </c>
      <c r="C243" s="363" t="s">
        <v>115</v>
      </c>
      <c r="D243" s="353">
        <f>SUM(B246:Y246)</f>
        <v>136.75235000000001</v>
      </c>
      <c r="E243" s="363" t="s">
        <v>114</v>
      </c>
      <c r="F243" s="354">
        <f>D243/g/J243</f>
        <v>152.35078513616639</v>
      </c>
      <c r="G243" s="363" t="s">
        <v>56</v>
      </c>
      <c r="H243" s="64">
        <v>0.21249999999999999</v>
      </c>
      <c r="I243" s="363" t="s">
        <v>271</v>
      </c>
      <c r="J243" s="355">
        <f>H243-L243</f>
        <v>9.1499999999999998E-2</v>
      </c>
      <c r="K243" s="363" t="s">
        <v>272</v>
      </c>
      <c r="L243" s="64">
        <v>0.121</v>
      </c>
      <c r="M243" s="363" t="s">
        <v>57</v>
      </c>
      <c r="N243" s="65">
        <v>63</v>
      </c>
      <c r="O243" s="363" t="s">
        <v>59</v>
      </c>
      <c r="P243" s="65">
        <v>114</v>
      </c>
      <c r="Q243" s="363" t="s">
        <v>60</v>
      </c>
      <c r="R243" s="65">
        <v>127</v>
      </c>
      <c r="S243" s="363" t="s">
        <v>61</v>
      </c>
      <c r="T243" s="65">
        <v>38</v>
      </c>
      <c r="U243" s="363" t="s">
        <v>54</v>
      </c>
      <c r="V243" s="66" t="s">
        <v>119</v>
      </c>
      <c r="W243" s="463" t="s">
        <v>394</v>
      </c>
      <c r="X243" s="465">
        <v>2.36</v>
      </c>
      <c r="Y243" s="463" t="s">
        <v>393</v>
      </c>
      <c r="Z243" s="358">
        <v>13</v>
      </c>
    </row>
    <row r="244" spans="1:26" x14ac:dyDescent="0.2">
      <c r="A244" s="362" t="s">
        <v>33</v>
      </c>
      <c r="B244" s="370">
        <v>0</v>
      </c>
      <c r="C244" s="371">
        <v>2.9000000000000001E-2</v>
      </c>
      <c r="D244" s="371">
        <v>4.5999999999999999E-2</v>
      </c>
      <c r="E244" s="371">
        <v>5.8000000000000003E-2</v>
      </c>
      <c r="F244" s="371">
        <v>8.4000000000000005E-2</v>
      </c>
      <c r="G244" s="371">
        <v>0.17100000000000001</v>
      </c>
      <c r="H244" s="371">
        <v>0.28000000000000003</v>
      </c>
      <c r="I244" s="371">
        <v>0.45500000000000002</v>
      </c>
      <c r="J244" s="371">
        <v>0.58599999999999997</v>
      </c>
      <c r="K244" s="371">
        <v>0.74099999999999999</v>
      </c>
      <c r="L244" s="371">
        <v>0.95199999999999996</v>
      </c>
      <c r="M244" s="371">
        <v>1.2170000000000001</v>
      </c>
      <c r="N244" s="371">
        <v>1.43</v>
      </c>
      <c r="O244" s="371">
        <v>1.6259999999999999</v>
      </c>
      <c r="P244" s="371">
        <v>1.8069999999999999</v>
      </c>
      <c r="Q244" s="371">
        <v>1.9590000000000001</v>
      </c>
      <c r="R244" s="371">
        <v>2.1040000000000001</v>
      </c>
      <c r="S244" s="371">
        <v>2.1680000000000001</v>
      </c>
      <c r="T244" s="371">
        <v>2.21</v>
      </c>
      <c r="U244" s="371">
        <v>2.2469999999999999</v>
      </c>
      <c r="V244" s="371">
        <v>2.3290000000000002</v>
      </c>
      <c r="W244" s="371">
        <f>2.4</f>
        <v>2.4</v>
      </c>
      <c r="X244" s="371">
        <f>W244</f>
        <v>2.4</v>
      </c>
      <c r="Y244" s="381">
        <v>1000</v>
      </c>
    </row>
    <row r="245" spans="1:26" x14ac:dyDescent="0.2">
      <c r="A245" s="378" t="s">
        <v>34</v>
      </c>
      <c r="B245" s="372">
        <v>0</v>
      </c>
      <c r="C245" s="373">
        <v>90.25</v>
      </c>
      <c r="D245" s="373">
        <v>69.17</v>
      </c>
      <c r="E245" s="373">
        <v>59.947000000000003</v>
      </c>
      <c r="F245" s="373">
        <v>47.167000000000002</v>
      </c>
      <c r="G245" s="373">
        <v>57.970999999999997</v>
      </c>
      <c r="H245" s="373">
        <v>59.552</v>
      </c>
      <c r="I245" s="373">
        <v>61.265000000000001</v>
      </c>
      <c r="J245" s="373">
        <v>61.66</v>
      </c>
      <c r="K245" s="373">
        <v>62.319000000000003</v>
      </c>
      <c r="L245" s="373">
        <v>63.768000000000001</v>
      </c>
      <c r="M245" s="373">
        <v>64.69</v>
      </c>
      <c r="N245" s="373">
        <v>63.768000000000001</v>
      </c>
      <c r="O245" s="373">
        <v>61.265000000000001</v>
      </c>
      <c r="P245" s="373">
        <v>58.103000000000002</v>
      </c>
      <c r="Q245" s="373">
        <v>53.887</v>
      </c>
      <c r="R245" s="373">
        <v>48.353000000000002</v>
      </c>
      <c r="S245" s="373">
        <v>47.563000000000002</v>
      </c>
      <c r="T245" s="373">
        <v>44.005000000000003</v>
      </c>
      <c r="U245" s="373">
        <v>37.286000000000001</v>
      </c>
      <c r="V245" s="373">
        <v>22.265999999999998</v>
      </c>
      <c r="W245" s="373">
        <v>0</v>
      </c>
      <c r="X245" s="373">
        <f>W245</f>
        <v>0</v>
      </c>
      <c r="Y245" s="382">
        <v>0</v>
      </c>
    </row>
    <row r="246" spans="1:26" ht="13.5" thickBot="1" x14ac:dyDescent="0.25">
      <c r="A246" s="379" t="s">
        <v>116</v>
      </c>
      <c r="B246" s="374">
        <f t="shared" ref="B246:X246" si="83">(C245+B245)*(C244-B244)/2</f>
        <v>1.3086250000000001</v>
      </c>
      <c r="C246" s="375">
        <f t="shared" si="83"/>
        <v>1.35507</v>
      </c>
      <c r="D246" s="375">
        <f t="shared" si="83"/>
        <v>0.77470200000000033</v>
      </c>
      <c r="E246" s="375">
        <f t="shared" si="83"/>
        <v>1.3924820000000002</v>
      </c>
      <c r="F246" s="375">
        <f t="shared" si="83"/>
        <v>4.5735030000000005</v>
      </c>
      <c r="G246" s="375">
        <f t="shared" si="83"/>
        <v>6.4050035000000003</v>
      </c>
      <c r="H246" s="375">
        <f t="shared" si="83"/>
        <v>10.5714875</v>
      </c>
      <c r="I246" s="375">
        <f t="shared" si="83"/>
        <v>8.0515874999999966</v>
      </c>
      <c r="J246" s="375">
        <f t="shared" si="83"/>
        <v>9.6083725000000015</v>
      </c>
      <c r="K246" s="375">
        <f t="shared" si="83"/>
        <v>13.302178499999998</v>
      </c>
      <c r="L246" s="375">
        <f t="shared" si="83"/>
        <v>17.020685000000007</v>
      </c>
      <c r="M246" s="375">
        <f t="shared" si="83"/>
        <v>13.68077699999999</v>
      </c>
      <c r="N246" s="375">
        <f t="shared" si="83"/>
        <v>12.253233999999997</v>
      </c>
      <c r="O246" s="375">
        <f t="shared" si="83"/>
        <v>10.802804000000002</v>
      </c>
      <c r="P246" s="375">
        <f t="shared" si="83"/>
        <v>8.5112400000000079</v>
      </c>
      <c r="Q246" s="375">
        <f t="shared" si="83"/>
        <v>7.4124000000000017</v>
      </c>
      <c r="R246" s="375">
        <f t="shared" si="83"/>
        <v>3.0693120000000027</v>
      </c>
      <c r="S246" s="375">
        <f t="shared" si="83"/>
        <v>1.9229279999999918</v>
      </c>
      <c r="T246" s="375">
        <f t="shared" si="83"/>
        <v>1.5038834999999968</v>
      </c>
      <c r="U246" s="375">
        <f t="shared" si="83"/>
        <v>2.4416320000000087</v>
      </c>
      <c r="V246" s="375">
        <f t="shared" si="83"/>
        <v>0.7904429999999969</v>
      </c>
      <c r="W246" s="375">
        <f t="shared" si="83"/>
        <v>0</v>
      </c>
      <c r="X246" s="375">
        <f t="shared" si="83"/>
        <v>0</v>
      </c>
      <c r="Y246" s="369"/>
    </row>
    <row r="247" spans="1:26" ht="13.5" thickBot="1" x14ac:dyDescent="0.2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6" ht="13.5" thickBot="1" x14ac:dyDescent="0.25">
      <c r="A248" s="361" t="s">
        <v>380</v>
      </c>
      <c r="B248" s="359">
        <f>ROW(A248)</f>
        <v>248</v>
      </c>
      <c r="C248" s="363" t="s">
        <v>115</v>
      </c>
      <c r="D248" s="353">
        <f>SUM(B251:Y251)</f>
        <v>127.06944999999999</v>
      </c>
      <c r="E248" s="363" t="s">
        <v>114</v>
      </c>
      <c r="F248" s="354">
        <f>D248/g/J248</f>
        <v>180.65624835614466</v>
      </c>
      <c r="G248" s="363" t="s">
        <v>56</v>
      </c>
      <c r="H248" s="64">
        <v>0.18840000000000001</v>
      </c>
      <c r="I248" s="363" t="s">
        <v>271</v>
      </c>
      <c r="J248" s="355">
        <f>H248-L248</f>
        <v>7.1700000000000014E-2</v>
      </c>
      <c r="K248" s="363" t="s">
        <v>272</v>
      </c>
      <c r="L248" s="64">
        <v>0.1167</v>
      </c>
      <c r="M248" s="363" t="s">
        <v>57</v>
      </c>
      <c r="N248" s="65">
        <v>63</v>
      </c>
      <c r="O248" s="363" t="s">
        <v>59</v>
      </c>
      <c r="P248" s="65">
        <v>114</v>
      </c>
      <c r="Q248" s="363" t="s">
        <v>60</v>
      </c>
      <c r="R248" s="65">
        <v>127</v>
      </c>
      <c r="S248" s="363" t="s">
        <v>61</v>
      </c>
      <c r="T248" s="65">
        <v>38</v>
      </c>
      <c r="U248" s="363" t="s">
        <v>54</v>
      </c>
      <c r="V248" s="66" t="s">
        <v>119</v>
      </c>
      <c r="W248" s="463" t="s">
        <v>394</v>
      </c>
      <c r="X248" s="465">
        <v>0.69</v>
      </c>
      <c r="Y248" s="463" t="s">
        <v>393</v>
      </c>
      <c r="Z248" s="358">
        <v>12</v>
      </c>
    </row>
    <row r="249" spans="1:26" x14ac:dyDescent="0.2">
      <c r="A249" s="362" t="s">
        <v>33</v>
      </c>
      <c r="B249" s="370">
        <v>0</v>
      </c>
      <c r="C249" s="371">
        <v>0.01</v>
      </c>
      <c r="D249" s="371">
        <v>0.02</v>
      </c>
      <c r="E249" s="371">
        <v>0.05</v>
      </c>
      <c r="F249" s="371">
        <v>0.1</v>
      </c>
      <c r="G249" s="371">
        <v>0.2</v>
      </c>
      <c r="H249" s="371">
        <v>0.3</v>
      </c>
      <c r="I249" s="371">
        <v>0.35</v>
      </c>
      <c r="J249" s="371">
        <v>0.4</v>
      </c>
      <c r="K249" s="371">
        <v>0.45</v>
      </c>
      <c r="L249" s="371">
        <v>0.5</v>
      </c>
      <c r="M249" s="371">
        <v>0.55000000000000004</v>
      </c>
      <c r="N249" s="371">
        <v>0.6</v>
      </c>
      <c r="O249" s="371">
        <v>0.61</v>
      </c>
      <c r="P249" s="371">
        <v>0.63</v>
      </c>
      <c r="Q249" s="371">
        <v>0.64</v>
      </c>
      <c r="R249" s="371">
        <v>0.65</v>
      </c>
      <c r="S249" s="371">
        <v>0.67</v>
      </c>
      <c r="T249" s="371">
        <v>0.68</v>
      </c>
      <c r="U249" s="371">
        <v>0.69</v>
      </c>
      <c r="V249" s="371">
        <f t="shared" ref="V249:X250" si="84">U249</f>
        <v>0.69</v>
      </c>
      <c r="W249" s="371">
        <f t="shared" si="84"/>
        <v>0.69</v>
      </c>
      <c r="X249" s="371">
        <v>2</v>
      </c>
      <c r="Y249" s="381">
        <v>1000</v>
      </c>
    </row>
    <row r="250" spans="1:26" x14ac:dyDescent="0.2">
      <c r="A250" s="378" t="s">
        <v>34</v>
      </c>
      <c r="B250" s="372">
        <v>0</v>
      </c>
      <c r="C250" s="373">
        <v>108.72</v>
      </c>
      <c r="D250" s="373">
        <v>131.19</v>
      </c>
      <c r="E250" s="373">
        <v>153.13999999999999</v>
      </c>
      <c r="F250" s="373">
        <v>168.97</v>
      </c>
      <c r="G250" s="373">
        <v>189.92</v>
      </c>
      <c r="H250" s="373">
        <v>199.95</v>
      </c>
      <c r="I250" s="373">
        <v>203.59</v>
      </c>
      <c r="J250" s="373">
        <v>205.03</v>
      </c>
      <c r="K250" s="373">
        <v>202.6</v>
      </c>
      <c r="L250" s="373">
        <v>203.06</v>
      </c>
      <c r="M250" s="373">
        <v>199.34</v>
      </c>
      <c r="N250" s="373">
        <v>194.71</v>
      </c>
      <c r="O250" s="373">
        <v>194.1</v>
      </c>
      <c r="P250" s="373">
        <v>193.49</v>
      </c>
      <c r="Q250" s="373">
        <v>193.68</v>
      </c>
      <c r="R250" s="373">
        <v>202.91</v>
      </c>
      <c r="S250" s="373">
        <v>163.38999999999999</v>
      </c>
      <c r="T250" s="373">
        <v>80.44</v>
      </c>
      <c r="U250" s="373">
        <v>0</v>
      </c>
      <c r="V250" s="373">
        <f t="shared" si="84"/>
        <v>0</v>
      </c>
      <c r="W250" s="373">
        <f t="shared" si="84"/>
        <v>0</v>
      </c>
      <c r="X250" s="373">
        <f t="shared" si="84"/>
        <v>0</v>
      </c>
      <c r="Y250" s="382">
        <v>0</v>
      </c>
    </row>
    <row r="251" spans="1:26" ht="13.5" thickBot="1" x14ac:dyDescent="0.25">
      <c r="A251" s="379" t="s">
        <v>116</v>
      </c>
      <c r="B251" s="374">
        <f t="shared" ref="B251:X251" si="85">(C250+B250)*(C249-B249)/2</f>
        <v>0.54359999999999997</v>
      </c>
      <c r="C251" s="375">
        <f t="shared" si="85"/>
        <v>1.1995500000000001</v>
      </c>
      <c r="D251" s="375">
        <f t="shared" si="85"/>
        <v>4.2649499999999998</v>
      </c>
      <c r="E251" s="375">
        <f t="shared" si="85"/>
        <v>8.0527500000000014</v>
      </c>
      <c r="F251" s="375">
        <f t="shared" si="85"/>
        <v>17.944500000000001</v>
      </c>
      <c r="G251" s="375">
        <f t="shared" si="85"/>
        <v>19.493499999999997</v>
      </c>
      <c r="H251" s="375">
        <f t="shared" si="85"/>
        <v>10.088499999999996</v>
      </c>
      <c r="I251" s="375">
        <f t="shared" si="85"/>
        <v>10.215500000000009</v>
      </c>
      <c r="J251" s="375">
        <f t="shared" si="85"/>
        <v>10.190749999999998</v>
      </c>
      <c r="K251" s="375">
        <f t="shared" si="85"/>
        <v>10.141499999999997</v>
      </c>
      <c r="L251" s="375">
        <f t="shared" si="85"/>
        <v>10.060000000000008</v>
      </c>
      <c r="M251" s="375">
        <f t="shared" si="85"/>
        <v>9.8512499999999878</v>
      </c>
      <c r="N251" s="375">
        <f t="shared" si="85"/>
        <v>1.9440500000000018</v>
      </c>
      <c r="O251" s="375">
        <f t="shared" si="85"/>
        <v>3.8759000000000037</v>
      </c>
      <c r="P251" s="375">
        <f t="shared" si="85"/>
        <v>1.9358500000000018</v>
      </c>
      <c r="Q251" s="375">
        <f t="shared" si="85"/>
        <v>1.982950000000002</v>
      </c>
      <c r="R251" s="375">
        <f t="shared" si="85"/>
        <v>3.6630000000000029</v>
      </c>
      <c r="S251" s="375">
        <f t="shared" si="85"/>
        <v>1.2191500000000011</v>
      </c>
      <c r="T251" s="375">
        <f t="shared" si="85"/>
        <v>0.40219999999999589</v>
      </c>
      <c r="U251" s="375">
        <f t="shared" si="85"/>
        <v>0</v>
      </c>
      <c r="V251" s="375">
        <f t="shared" si="85"/>
        <v>0</v>
      </c>
      <c r="W251" s="375">
        <f t="shared" si="85"/>
        <v>0</v>
      </c>
      <c r="X251" s="375">
        <f t="shared" si="85"/>
        <v>0</v>
      </c>
      <c r="Y251" s="369"/>
    </row>
    <row r="252" spans="1:26" ht="13.5" thickBot="1" x14ac:dyDescent="0.2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6" ht="13.5" thickBot="1" x14ac:dyDescent="0.25">
      <c r="A253" s="361" t="s">
        <v>388</v>
      </c>
      <c r="B253" s="359">
        <f>ROW(A253)</f>
        <v>253</v>
      </c>
      <c r="C253" s="363" t="s">
        <v>115</v>
      </c>
      <c r="D253" s="353">
        <f>SUM(B256:Y256)</f>
        <v>142.7236025</v>
      </c>
      <c r="E253" s="363" t="s">
        <v>114</v>
      </c>
      <c r="F253" s="354">
        <v>208</v>
      </c>
      <c r="G253" s="363" t="s">
        <v>56</v>
      </c>
      <c r="H253" s="64">
        <v>0.19700000000000001</v>
      </c>
      <c r="I253" s="363" t="s">
        <v>271</v>
      </c>
      <c r="J253" s="355">
        <f>H253-L253</f>
        <v>7.0000000000000007E-2</v>
      </c>
      <c r="K253" s="363" t="s">
        <v>272</v>
      </c>
      <c r="L253" s="64">
        <v>0.127</v>
      </c>
      <c r="M253" s="363" t="s">
        <v>57</v>
      </c>
      <c r="N253" s="65">
        <v>63</v>
      </c>
      <c r="O253" s="363" t="s">
        <v>59</v>
      </c>
      <c r="P253" s="65">
        <v>114</v>
      </c>
      <c r="Q253" s="363" t="s">
        <v>60</v>
      </c>
      <c r="R253" s="65">
        <v>127</v>
      </c>
      <c r="S253" s="363" t="s">
        <v>61</v>
      </c>
      <c r="T253" s="65">
        <v>38</v>
      </c>
      <c r="U253" s="363" t="s">
        <v>54</v>
      </c>
      <c r="V253" s="66" t="s">
        <v>119</v>
      </c>
      <c r="W253" s="463" t="s">
        <v>394</v>
      </c>
      <c r="X253" s="465">
        <v>1.8</v>
      </c>
      <c r="Y253" s="463" t="s">
        <v>393</v>
      </c>
      <c r="Z253" s="358">
        <v>15</v>
      </c>
    </row>
    <row r="254" spans="1:26" x14ac:dyDescent="0.2">
      <c r="A254" s="362" t="s">
        <v>33</v>
      </c>
      <c r="B254" s="370">
        <v>0</v>
      </c>
      <c r="C254" s="370">
        <v>6.0000000000000001E-3</v>
      </c>
      <c r="D254" s="371">
        <v>1.7999999999999999E-2</v>
      </c>
      <c r="E254" s="371">
        <v>3.5999999999999997E-2</v>
      </c>
      <c r="F254" s="371">
        <v>4.7E-2</v>
      </c>
      <c r="G254" s="371">
        <v>8.4000000000000005E-2</v>
      </c>
      <c r="H254" s="371">
        <v>0.13500000000000001</v>
      </c>
      <c r="I254" s="371">
        <v>0.23799999999999999</v>
      </c>
      <c r="J254" s="371">
        <v>0.438</v>
      </c>
      <c r="K254" s="371">
        <v>0.63</v>
      </c>
      <c r="L254" s="371">
        <v>0.85899999999999999</v>
      </c>
      <c r="M254" s="371">
        <v>1.2829999999999999</v>
      </c>
      <c r="N254" s="371">
        <v>1.4470000000000001</v>
      </c>
      <c r="O254" s="371">
        <v>1.643</v>
      </c>
      <c r="P254" s="371">
        <v>1.7130000000000001</v>
      </c>
      <c r="Q254" s="371">
        <v>1.7430000000000001</v>
      </c>
      <c r="R254" s="371">
        <v>1.79</v>
      </c>
      <c r="S254" s="371">
        <v>1.8180000000000001</v>
      </c>
      <c r="T254" s="371">
        <v>1.8520000000000001</v>
      </c>
      <c r="U254" s="371">
        <v>2</v>
      </c>
      <c r="V254" s="371">
        <f t="shared" ref="V254:X255" si="86">U254</f>
        <v>2</v>
      </c>
      <c r="W254" s="371">
        <f t="shared" si="86"/>
        <v>2</v>
      </c>
      <c r="X254" s="371">
        <f t="shared" si="86"/>
        <v>2</v>
      </c>
      <c r="Y254" s="381">
        <v>1000</v>
      </c>
    </row>
    <row r="255" spans="1:26" x14ac:dyDescent="0.2">
      <c r="A255" s="378" t="s">
        <v>34</v>
      </c>
      <c r="B255" s="372">
        <v>0</v>
      </c>
      <c r="C255" s="372">
        <v>104.068</v>
      </c>
      <c r="D255" s="373">
        <v>137.928</v>
      </c>
      <c r="E255" s="373">
        <v>70.706999999999994</v>
      </c>
      <c r="F255" s="373">
        <v>62.241999999999997</v>
      </c>
      <c r="G255" s="373">
        <v>73.694000000000003</v>
      </c>
      <c r="H255" s="373">
        <v>78.176000000000002</v>
      </c>
      <c r="I255" s="373">
        <v>84.150999999999996</v>
      </c>
      <c r="J255" s="373">
        <v>89.628</v>
      </c>
      <c r="K255" s="373">
        <v>88.135000000000005</v>
      </c>
      <c r="L255" s="373">
        <v>87.138999999999996</v>
      </c>
      <c r="M255" s="373">
        <v>77.180000000000007</v>
      </c>
      <c r="N255" s="373">
        <v>70.706999999999994</v>
      </c>
      <c r="O255" s="373">
        <v>67.718999999999994</v>
      </c>
      <c r="P255" s="373">
        <v>64.233999999999995</v>
      </c>
      <c r="Q255" s="373">
        <v>54.274999999999999</v>
      </c>
      <c r="R255" s="373">
        <v>18.423999999999999</v>
      </c>
      <c r="S255" s="373">
        <v>6.4729999999999999</v>
      </c>
      <c r="T255" s="373">
        <v>0</v>
      </c>
      <c r="U255" s="373">
        <v>0</v>
      </c>
      <c r="V255" s="373">
        <f t="shared" si="86"/>
        <v>0</v>
      </c>
      <c r="W255" s="373">
        <f t="shared" si="86"/>
        <v>0</v>
      </c>
      <c r="X255" s="373">
        <f t="shared" si="86"/>
        <v>0</v>
      </c>
      <c r="Y255" s="382">
        <v>0</v>
      </c>
    </row>
    <row r="256" spans="1:26" ht="13.5" thickBot="1" x14ac:dyDescent="0.25">
      <c r="A256" s="379" t="s">
        <v>116</v>
      </c>
      <c r="B256" s="374">
        <f t="shared" ref="B256:X256" si="87">(C255+B255)*(C254-B254)/2</f>
        <v>0.31220399999999998</v>
      </c>
      <c r="C256" s="375">
        <f t="shared" si="87"/>
        <v>1.4519759999999997</v>
      </c>
      <c r="D256" s="375">
        <f t="shared" si="87"/>
        <v>1.8777149999999998</v>
      </c>
      <c r="E256" s="375">
        <f t="shared" si="87"/>
        <v>0.73121950000000013</v>
      </c>
      <c r="F256" s="375">
        <f t="shared" si="87"/>
        <v>2.5148160000000006</v>
      </c>
      <c r="G256" s="375">
        <f t="shared" si="87"/>
        <v>3.8726850000000006</v>
      </c>
      <c r="H256" s="375">
        <f t="shared" si="87"/>
        <v>8.3598404999999989</v>
      </c>
      <c r="I256" s="375">
        <f t="shared" si="87"/>
        <v>17.3779</v>
      </c>
      <c r="J256" s="375">
        <f t="shared" si="87"/>
        <v>17.065248</v>
      </c>
      <c r="K256" s="375">
        <f t="shared" si="87"/>
        <v>20.068873</v>
      </c>
      <c r="L256" s="375">
        <f t="shared" si="87"/>
        <v>34.835628</v>
      </c>
      <c r="M256" s="375">
        <f t="shared" si="87"/>
        <v>12.126734000000011</v>
      </c>
      <c r="N256" s="375">
        <f t="shared" si="87"/>
        <v>13.565747999999996</v>
      </c>
      <c r="O256" s="375">
        <f t="shared" si="87"/>
        <v>4.6183550000000029</v>
      </c>
      <c r="P256" s="375">
        <f t="shared" si="87"/>
        <v>1.7776350000000014</v>
      </c>
      <c r="Q256" s="375">
        <f t="shared" si="87"/>
        <v>1.7084264999999974</v>
      </c>
      <c r="R256" s="375">
        <f t="shared" si="87"/>
        <v>0.34855800000000031</v>
      </c>
      <c r="S256" s="375">
        <f t="shared" si="87"/>
        <v>0.1100410000000001</v>
      </c>
      <c r="T256" s="375">
        <f t="shared" si="87"/>
        <v>0</v>
      </c>
      <c r="U256" s="375">
        <f t="shared" si="87"/>
        <v>0</v>
      </c>
      <c r="V256" s="375">
        <f t="shared" si="87"/>
        <v>0</v>
      </c>
      <c r="W256" s="375">
        <f t="shared" si="87"/>
        <v>0</v>
      </c>
      <c r="X256" s="375">
        <f t="shared" si="87"/>
        <v>0</v>
      </c>
      <c r="Y256" s="369"/>
    </row>
    <row r="257" spans="1:25" ht="13.5" thickBot="1" x14ac:dyDescent="0.2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3.5" thickBot="1" x14ac:dyDescent="0.25">
      <c r="A258" s="361" t="s">
        <v>274</v>
      </c>
      <c r="B258" s="360">
        <f>ROW(A258)</f>
        <v>258</v>
      </c>
      <c r="C258" s="363" t="s">
        <v>115</v>
      </c>
      <c r="D258" s="353">
        <f>SUM(B261:Y261)</f>
        <v>33.500000000000007</v>
      </c>
      <c r="E258" s="363" t="s">
        <v>114</v>
      </c>
      <c r="F258" s="354">
        <f>D258/g/J258</f>
        <v>68.297655453618759</v>
      </c>
      <c r="G258" s="363" t="s">
        <v>56</v>
      </c>
      <c r="H258" s="64">
        <v>8.5000000000000006E-2</v>
      </c>
      <c r="I258" s="363" t="s">
        <v>271</v>
      </c>
      <c r="J258" s="355">
        <f>H258-L258</f>
        <v>0.05</v>
      </c>
      <c r="K258" s="363" t="s">
        <v>272</v>
      </c>
      <c r="L258" s="64">
        <v>3.5000000000000003E-2</v>
      </c>
      <c r="M258" s="363" t="s">
        <v>57</v>
      </c>
      <c r="N258" s="65">
        <v>20</v>
      </c>
      <c r="O258" s="363" t="s">
        <v>59</v>
      </c>
      <c r="P258" s="65">
        <v>20</v>
      </c>
      <c r="Q258" s="363" t="s">
        <v>60</v>
      </c>
      <c r="R258" s="65">
        <v>39</v>
      </c>
      <c r="S258" s="363" t="s">
        <v>61</v>
      </c>
      <c r="T258" s="65">
        <v>39</v>
      </c>
      <c r="U258" s="363" t="s">
        <v>54</v>
      </c>
      <c r="V258" s="66" t="s">
        <v>401</v>
      </c>
      <c r="W258" s="12"/>
      <c r="X258" s="12"/>
      <c r="Y258" s="12"/>
    </row>
    <row r="259" spans="1:25" x14ac:dyDescent="0.2">
      <c r="A259" s="362" t="s">
        <v>33</v>
      </c>
      <c r="B259" s="370">
        <v>0</v>
      </c>
      <c r="C259" s="371">
        <v>0.05</v>
      </c>
      <c r="D259" s="371">
        <v>0.1</v>
      </c>
      <c r="E259" s="371">
        <v>0.25</v>
      </c>
      <c r="F259" s="371">
        <v>0.3</v>
      </c>
      <c r="G259" s="371">
        <v>0.35</v>
      </c>
      <c r="H259" s="371">
        <v>0.45</v>
      </c>
      <c r="I259" s="371">
        <v>0.55000000000000004</v>
      </c>
      <c r="J259" s="371">
        <v>3.5</v>
      </c>
      <c r="K259" s="371">
        <v>3.6</v>
      </c>
      <c r="L259" s="371">
        <v>3.6</v>
      </c>
      <c r="M259" s="371">
        <v>3.6</v>
      </c>
      <c r="N259" s="371">
        <v>3.6</v>
      </c>
      <c r="O259" s="371">
        <v>3.6</v>
      </c>
      <c r="P259" s="371">
        <v>3.6</v>
      </c>
      <c r="Q259" s="371">
        <v>3.6</v>
      </c>
      <c r="R259" s="371">
        <v>3.6</v>
      </c>
      <c r="S259" s="371">
        <v>3.6</v>
      </c>
      <c r="T259" s="371">
        <v>3.6</v>
      </c>
      <c r="U259" s="371">
        <v>3.6</v>
      </c>
      <c r="V259" s="371">
        <v>3.6</v>
      </c>
      <c r="W259" s="371">
        <v>3.6</v>
      </c>
      <c r="X259" s="371">
        <v>3.6</v>
      </c>
      <c r="Y259" s="381">
        <v>1000</v>
      </c>
    </row>
    <row r="260" spans="1:25" x14ac:dyDescent="0.2">
      <c r="A260" s="378" t="s">
        <v>34</v>
      </c>
      <c r="B260" s="372">
        <v>0</v>
      </c>
      <c r="C260" s="373">
        <v>68</v>
      </c>
      <c r="D260" s="373">
        <v>62</v>
      </c>
      <c r="E260" s="373">
        <v>60</v>
      </c>
      <c r="F260" s="373">
        <v>39</v>
      </c>
      <c r="G260" s="373">
        <v>38</v>
      </c>
      <c r="H260" s="373">
        <v>9</v>
      </c>
      <c r="I260" s="373">
        <v>5</v>
      </c>
      <c r="J260" s="373">
        <v>3</v>
      </c>
      <c r="K260" s="373">
        <v>0</v>
      </c>
      <c r="L260" s="373">
        <v>0</v>
      </c>
      <c r="M260" s="373">
        <v>0</v>
      </c>
      <c r="N260" s="373">
        <v>0</v>
      </c>
      <c r="O260" s="373">
        <v>0</v>
      </c>
      <c r="P260" s="373">
        <v>0</v>
      </c>
      <c r="Q260" s="373">
        <v>0</v>
      </c>
      <c r="R260" s="373">
        <v>0</v>
      </c>
      <c r="S260" s="373">
        <v>0</v>
      </c>
      <c r="T260" s="373">
        <v>0</v>
      </c>
      <c r="U260" s="373">
        <v>0</v>
      </c>
      <c r="V260" s="373">
        <v>0</v>
      </c>
      <c r="W260" s="373">
        <v>0</v>
      </c>
      <c r="X260" s="373">
        <v>0</v>
      </c>
      <c r="Y260" s="382">
        <v>0</v>
      </c>
    </row>
    <row r="261" spans="1:25" ht="13.5" thickBot="1" x14ac:dyDescent="0.25">
      <c r="A261" s="379" t="s">
        <v>116</v>
      </c>
      <c r="B261" s="374">
        <f t="shared" ref="B261:V261" si="88">(C260+B260)*(C259-B259)/2</f>
        <v>1.7000000000000002</v>
      </c>
      <c r="C261" s="375">
        <f t="shared" si="88"/>
        <v>3.25</v>
      </c>
      <c r="D261" s="375">
        <f t="shared" si="88"/>
        <v>9.15</v>
      </c>
      <c r="E261" s="375">
        <f t="shared" si="88"/>
        <v>2.4749999999999996</v>
      </c>
      <c r="F261" s="375">
        <f t="shared" si="88"/>
        <v>1.9249999999999996</v>
      </c>
      <c r="G261" s="375">
        <f t="shared" si="88"/>
        <v>2.350000000000001</v>
      </c>
      <c r="H261" s="375">
        <f t="shared" si="88"/>
        <v>0.70000000000000018</v>
      </c>
      <c r="I261" s="375">
        <f t="shared" si="88"/>
        <v>11.8</v>
      </c>
      <c r="J261" s="375">
        <f t="shared" si="88"/>
        <v>0.15000000000000013</v>
      </c>
      <c r="K261" s="375">
        <f t="shared" si="88"/>
        <v>0</v>
      </c>
      <c r="L261" s="375">
        <f t="shared" si="88"/>
        <v>0</v>
      </c>
      <c r="M261" s="375">
        <f t="shared" si="88"/>
        <v>0</v>
      </c>
      <c r="N261" s="375">
        <f t="shared" si="88"/>
        <v>0</v>
      </c>
      <c r="O261" s="375">
        <f t="shared" si="88"/>
        <v>0</v>
      </c>
      <c r="P261" s="375">
        <f t="shared" si="88"/>
        <v>0</v>
      </c>
      <c r="Q261" s="375">
        <f t="shared" si="88"/>
        <v>0</v>
      </c>
      <c r="R261" s="375">
        <f t="shared" si="88"/>
        <v>0</v>
      </c>
      <c r="S261" s="375">
        <f t="shared" si="88"/>
        <v>0</v>
      </c>
      <c r="T261" s="375">
        <f t="shared" si="88"/>
        <v>0</v>
      </c>
      <c r="U261" s="375">
        <f t="shared" si="88"/>
        <v>0</v>
      </c>
      <c r="V261" s="375">
        <f t="shared" si="88"/>
        <v>0</v>
      </c>
      <c r="W261" s="375">
        <f>(X260+W260)*(X259-W259)/2</f>
        <v>0</v>
      </c>
      <c r="X261" s="375">
        <f>(Y260+X260)*(Y259-X259)/2</f>
        <v>0</v>
      </c>
      <c r="Y261" s="369"/>
    </row>
    <row r="262" spans="1:25" ht="13.5" thickBot="1" x14ac:dyDescent="0.2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3.5" thickBot="1" x14ac:dyDescent="0.25">
      <c r="A263" s="361" t="s">
        <v>275</v>
      </c>
      <c r="B263" s="359">
        <f>ROW(A263)</f>
        <v>263</v>
      </c>
      <c r="C263" s="363" t="s">
        <v>115</v>
      </c>
      <c r="D263" s="353">
        <f>SUM(B266:Y266)</f>
        <v>145.46</v>
      </c>
      <c r="E263" s="363" t="s">
        <v>114</v>
      </c>
      <c r="F263" s="354">
        <f>D263/g/J263</f>
        <v>211.82466870540264</v>
      </c>
      <c r="G263" s="363" t="s">
        <v>56</v>
      </c>
      <c r="H263" s="64">
        <v>0.22</v>
      </c>
      <c r="I263" s="363" t="s">
        <v>271</v>
      </c>
      <c r="J263" s="355">
        <f>H263-L263</f>
        <v>7.0000000000000007E-2</v>
      </c>
      <c r="K263" s="363" t="s">
        <v>272</v>
      </c>
      <c r="L263" s="64">
        <v>0.15</v>
      </c>
      <c r="M263" s="363" t="s">
        <v>57</v>
      </c>
      <c r="N263" s="65">
        <v>50</v>
      </c>
      <c r="O263" s="363" t="s">
        <v>59</v>
      </c>
      <c r="P263" s="65">
        <v>55</v>
      </c>
      <c r="Q263" s="363" t="s">
        <v>60</v>
      </c>
      <c r="R263" s="65">
        <v>76</v>
      </c>
      <c r="S263" s="363" t="s">
        <v>61</v>
      </c>
      <c r="T263" s="65">
        <v>40</v>
      </c>
      <c r="U263" s="363" t="s">
        <v>54</v>
      </c>
      <c r="V263" s="66" t="s">
        <v>401</v>
      </c>
      <c r="W263" s="12"/>
      <c r="X263" s="12"/>
      <c r="Y263" s="12"/>
    </row>
    <row r="264" spans="1:25" x14ac:dyDescent="0.2">
      <c r="A264" s="362" t="s">
        <v>33</v>
      </c>
      <c r="B264" s="370">
        <v>0</v>
      </c>
      <c r="C264" s="371">
        <v>0.02</v>
      </c>
      <c r="D264" s="371">
        <v>0.04</v>
      </c>
      <c r="E264" s="371">
        <v>0.05</v>
      </c>
      <c r="F264" s="371">
        <v>0.06</v>
      </c>
      <c r="G264" s="371">
        <v>0.94</v>
      </c>
      <c r="H264" s="377">
        <v>0.94200000000000006</v>
      </c>
      <c r="I264" s="371">
        <v>0.95</v>
      </c>
      <c r="J264" s="371">
        <v>0.95</v>
      </c>
      <c r="K264" s="371">
        <v>0.95</v>
      </c>
      <c r="L264" s="371">
        <v>0.95</v>
      </c>
      <c r="M264" s="371">
        <v>0.95</v>
      </c>
      <c r="N264" s="371">
        <v>0.95</v>
      </c>
      <c r="O264" s="371">
        <v>0.95</v>
      </c>
      <c r="P264" s="371">
        <v>0.95</v>
      </c>
      <c r="Q264" s="371">
        <v>0.95</v>
      </c>
      <c r="R264" s="371">
        <v>0.95</v>
      </c>
      <c r="S264" s="371">
        <v>0.95</v>
      </c>
      <c r="T264" s="371">
        <v>0.95</v>
      </c>
      <c r="U264" s="371">
        <v>0.95</v>
      </c>
      <c r="V264" s="371">
        <v>0.95</v>
      </c>
      <c r="W264" s="371">
        <v>0.95</v>
      </c>
      <c r="X264" s="371">
        <v>2</v>
      </c>
      <c r="Y264" s="381">
        <v>1000</v>
      </c>
    </row>
    <row r="265" spans="1:25" x14ac:dyDescent="0.2">
      <c r="A265" s="378" t="s">
        <v>34</v>
      </c>
      <c r="B265" s="372">
        <v>0</v>
      </c>
      <c r="C265" s="373">
        <v>320</v>
      </c>
      <c r="D265" s="373">
        <v>170</v>
      </c>
      <c r="E265" s="373">
        <v>205</v>
      </c>
      <c r="F265" s="373">
        <v>217</v>
      </c>
      <c r="G265" s="373">
        <v>85</v>
      </c>
      <c r="H265" s="373">
        <v>82</v>
      </c>
      <c r="I265" s="373">
        <v>0</v>
      </c>
      <c r="J265" s="373">
        <v>0</v>
      </c>
      <c r="K265" s="373">
        <v>0</v>
      </c>
      <c r="L265" s="373">
        <v>0</v>
      </c>
      <c r="M265" s="373">
        <v>0</v>
      </c>
      <c r="N265" s="373">
        <v>0</v>
      </c>
      <c r="O265" s="373">
        <v>0</v>
      </c>
      <c r="P265" s="373">
        <v>0</v>
      </c>
      <c r="Q265" s="373">
        <v>0</v>
      </c>
      <c r="R265" s="373">
        <v>0</v>
      </c>
      <c r="S265" s="373">
        <v>0</v>
      </c>
      <c r="T265" s="373">
        <v>0</v>
      </c>
      <c r="U265" s="373">
        <v>0</v>
      </c>
      <c r="V265" s="373">
        <v>0</v>
      </c>
      <c r="W265" s="373">
        <v>0</v>
      </c>
      <c r="X265" s="373">
        <v>0</v>
      </c>
      <c r="Y265" s="382">
        <v>0</v>
      </c>
    </row>
    <row r="266" spans="1:25" ht="13.5" thickBot="1" x14ac:dyDescent="0.25">
      <c r="A266" s="379" t="s">
        <v>116</v>
      </c>
      <c r="B266" s="374">
        <f t="shared" ref="B266:H266" si="89">(C265+B265)*(C264-B264)/2</f>
        <v>3.2</v>
      </c>
      <c r="C266" s="375">
        <f t="shared" si="89"/>
        <v>4.9000000000000004</v>
      </c>
      <c r="D266" s="375">
        <f t="shared" si="89"/>
        <v>1.8750000000000004</v>
      </c>
      <c r="E266" s="375">
        <f t="shared" si="89"/>
        <v>2.109999999999999</v>
      </c>
      <c r="F266" s="375">
        <f t="shared" si="89"/>
        <v>132.88</v>
      </c>
      <c r="G266" s="375">
        <f t="shared" si="89"/>
        <v>0.16700000000000942</v>
      </c>
      <c r="H266" s="375">
        <f t="shared" si="89"/>
        <v>0.32799999999999574</v>
      </c>
      <c r="I266" s="375">
        <f t="shared" ref="I266:V266" si="90">(J265+I265)*(J264-I264)/2</f>
        <v>0</v>
      </c>
      <c r="J266" s="375">
        <f>(K265+J265)*(K264-J264)/2</f>
        <v>0</v>
      </c>
      <c r="K266" s="375">
        <f t="shared" si="90"/>
        <v>0</v>
      </c>
      <c r="L266" s="375">
        <f t="shared" si="90"/>
        <v>0</v>
      </c>
      <c r="M266" s="375">
        <f t="shared" si="90"/>
        <v>0</v>
      </c>
      <c r="N266" s="375">
        <f t="shared" si="90"/>
        <v>0</v>
      </c>
      <c r="O266" s="375">
        <f t="shared" si="90"/>
        <v>0</v>
      </c>
      <c r="P266" s="375">
        <f t="shared" si="90"/>
        <v>0</v>
      </c>
      <c r="Q266" s="375">
        <f t="shared" si="90"/>
        <v>0</v>
      </c>
      <c r="R266" s="375">
        <f t="shared" si="90"/>
        <v>0</v>
      </c>
      <c r="S266" s="375">
        <f>(T265+S265)*(T264-S264)/2</f>
        <v>0</v>
      </c>
      <c r="T266" s="375">
        <f t="shared" si="90"/>
        <v>0</v>
      </c>
      <c r="U266" s="375">
        <f t="shared" si="90"/>
        <v>0</v>
      </c>
      <c r="V266" s="375">
        <f t="shared" si="90"/>
        <v>0</v>
      </c>
      <c r="W266" s="375">
        <f>(X265+W265)*(X264-W264)/2</f>
        <v>0</v>
      </c>
      <c r="X266" s="375">
        <f>(Y265+X265)*(Y264-X264)/2</f>
        <v>0</v>
      </c>
      <c r="Y266" s="369"/>
    </row>
    <row r="267" spans="1:25" x14ac:dyDescent="0.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3.5" thickBot="1" x14ac:dyDescent="0.25">
      <c r="A268" s="6" t="s">
        <v>313</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3.5" thickBot="1" x14ac:dyDescent="0.25">
      <c r="A269" s="361" t="s">
        <v>35</v>
      </c>
      <c r="B269" s="359">
        <f>ROW(A269)</f>
        <v>269</v>
      </c>
      <c r="C269" s="363" t="s">
        <v>115</v>
      </c>
      <c r="D269" s="353">
        <f>SUM(B272:Y272)</f>
        <v>1071.5999999999999</v>
      </c>
      <c r="E269" s="363" t="s">
        <v>114</v>
      </c>
      <c r="F269" s="354">
        <f>D269/g/J269</f>
        <v>163.03802090465106</v>
      </c>
      <c r="G269" s="363" t="s">
        <v>56</v>
      </c>
      <c r="H269" s="64">
        <v>2.02</v>
      </c>
      <c r="I269" s="363" t="s">
        <v>271</v>
      </c>
      <c r="J269" s="355">
        <f>H269-L269</f>
        <v>0.66999999999999993</v>
      </c>
      <c r="K269" s="363" t="s">
        <v>272</v>
      </c>
      <c r="L269" s="64">
        <v>1.35</v>
      </c>
      <c r="M269" s="363" t="s">
        <v>57</v>
      </c>
      <c r="N269" s="65">
        <v>154</v>
      </c>
      <c r="O269" s="363" t="s">
        <v>59</v>
      </c>
      <c r="P269" s="65">
        <v>168</v>
      </c>
      <c r="Q269" s="363" t="s">
        <v>60</v>
      </c>
      <c r="R269" s="65">
        <v>230</v>
      </c>
      <c r="S269" s="363" t="s">
        <v>61</v>
      </c>
      <c r="T269" s="65">
        <v>67</v>
      </c>
      <c r="U269" s="363" t="s">
        <v>54</v>
      </c>
      <c r="V269" s="66" t="s">
        <v>118</v>
      </c>
      <c r="W269" s="12"/>
      <c r="X269" s="12"/>
      <c r="Y269" s="12"/>
    </row>
    <row r="270" spans="1:25" x14ac:dyDescent="0.2">
      <c r="A270" s="362" t="s">
        <v>33</v>
      </c>
      <c r="B270" s="370">
        <v>0</v>
      </c>
      <c r="C270" s="371">
        <v>0.02</v>
      </c>
      <c r="D270" s="371">
        <v>0.05</v>
      </c>
      <c r="E270" s="371">
        <v>0.06</v>
      </c>
      <c r="F270" s="371">
        <v>0.09</v>
      </c>
      <c r="G270" s="371">
        <v>0.17</v>
      </c>
      <c r="H270" s="371">
        <v>0.2</v>
      </c>
      <c r="I270" s="371">
        <v>0.38</v>
      </c>
      <c r="J270" s="371">
        <v>0.75</v>
      </c>
      <c r="K270" s="371">
        <v>0.79</v>
      </c>
      <c r="L270" s="371">
        <v>1.1299999999999999</v>
      </c>
      <c r="M270" s="371">
        <v>1.2</v>
      </c>
      <c r="N270" s="371">
        <v>1.5</v>
      </c>
      <c r="O270" s="371">
        <v>1.54</v>
      </c>
      <c r="P270" s="371">
        <v>1.65</v>
      </c>
      <c r="Q270" s="371">
        <v>1.7</v>
      </c>
      <c r="R270" s="371">
        <v>1.79</v>
      </c>
      <c r="S270" s="371">
        <v>1.79</v>
      </c>
      <c r="T270" s="371">
        <v>1.79</v>
      </c>
      <c r="U270" s="371">
        <v>1.79</v>
      </c>
      <c r="V270" s="371">
        <v>1.79</v>
      </c>
      <c r="W270" s="371">
        <v>1.79</v>
      </c>
      <c r="X270" s="371">
        <v>1.79</v>
      </c>
      <c r="Y270" s="381">
        <v>1000</v>
      </c>
    </row>
    <row r="271" spans="1:25" x14ac:dyDescent="0.2">
      <c r="A271" s="378" t="s">
        <v>34</v>
      </c>
      <c r="B271" s="372">
        <v>0</v>
      </c>
      <c r="C271" s="373">
        <v>20</v>
      </c>
      <c r="D271" s="373">
        <v>870</v>
      </c>
      <c r="E271" s="373">
        <v>530</v>
      </c>
      <c r="F271" s="373">
        <v>790</v>
      </c>
      <c r="G271" s="373">
        <v>700</v>
      </c>
      <c r="H271" s="373">
        <v>710</v>
      </c>
      <c r="I271" s="373">
        <v>670</v>
      </c>
      <c r="J271" s="373">
        <v>630</v>
      </c>
      <c r="K271" s="373">
        <v>630</v>
      </c>
      <c r="L271" s="373">
        <v>710</v>
      </c>
      <c r="M271" s="373">
        <v>690</v>
      </c>
      <c r="N271" s="373">
        <v>690</v>
      </c>
      <c r="O271" s="373">
        <v>660</v>
      </c>
      <c r="P271" s="373">
        <v>160</v>
      </c>
      <c r="Q271" s="373">
        <v>10</v>
      </c>
      <c r="R271" s="373">
        <v>0</v>
      </c>
      <c r="S271" s="373">
        <v>0</v>
      </c>
      <c r="T271" s="373">
        <v>0</v>
      </c>
      <c r="U271" s="373">
        <v>0</v>
      </c>
      <c r="V271" s="373">
        <v>0</v>
      </c>
      <c r="W271" s="373">
        <v>0</v>
      </c>
      <c r="X271" s="373">
        <v>0</v>
      </c>
      <c r="Y271" s="382">
        <v>0</v>
      </c>
    </row>
    <row r="272" spans="1:25" ht="13.5" thickBot="1" x14ac:dyDescent="0.25">
      <c r="A272" s="379" t="s">
        <v>116</v>
      </c>
      <c r="B272" s="374">
        <f t="shared" ref="B272:Q272" si="91">(C271+B271)*(C270-B270)/2</f>
        <v>0.2</v>
      </c>
      <c r="C272" s="375">
        <f t="shared" si="91"/>
        <v>13.350000000000001</v>
      </c>
      <c r="D272" s="375">
        <f t="shared" si="91"/>
        <v>6.9999999999999964</v>
      </c>
      <c r="E272" s="375">
        <f t="shared" si="91"/>
        <v>19.8</v>
      </c>
      <c r="F272" s="375">
        <f t="shared" si="91"/>
        <v>59.600000000000009</v>
      </c>
      <c r="G272" s="375">
        <f t="shared" si="91"/>
        <v>21.15</v>
      </c>
      <c r="H272" s="375">
        <f t="shared" si="91"/>
        <v>124.19999999999999</v>
      </c>
      <c r="I272" s="375">
        <f t="shared" si="91"/>
        <v>240.5</v>
      </c>
      <c r="J272" s="375">
        <f>(K271+J271)*(K270-J270)/2</f>
        <v>25.200000000000024</v>
      </c>
      <c r="K272" s="375">
        <f t="shared" si="91"/>
        <v>227.7999999999999</v>
      </c>
      <c r="L272" s="375">
        <f t="shared" si="91"/>
        <v>49.000000000000043</v>
      </c>
      <c r="M272" s="375">
        <f t="shared" si="91"/>
        <v>207.00000000000003</v>
      </c>
      <c r="N272" s="375">
        <f t="shared" si="91"/>
        <v>27.000000000000025</v>
      </c>
      <c r="O272" s="375">
        <f t="shared" si="91"/>
        <v>45.099999999999952</v>
      </c>
      <c r="P272" s="375">
        <f t="shared" si="91"/>
        <v>4.2500000000000036</v>
      </c>
      <c r="Q272" s="375">
        <f t="shared" si="91"/>
        <v>0.4500000000000004</v>
      </c>
      <c r="R272" s="375">
        <f t="shared" ref="R272:X272" si="92">(S271+R271)*(S270-R270)/2</f>
        <v>0</v>
      </c>
      <c r="S272" s="375">
        <f t="shared" si="92"/>
        <v>0</v>
      </c>
      <c r="T272" s="375">
        <f t="shared" si="92"/>
        <v>0</v>
      </c>
      <c r="U272" s="375">
        <f t="shared" si="92"/>
        <v>0</v>
      </c>
      <c r="V272" s="375">
        <f t="shared" si="92"/>
        <v>0</v>
      </c>
      <c r="W272" s="375">
        <f t="shared" si="92"/>
        <v>0</v>
      </c>
      <c r="X272" s="375">
        <f t="shared" si="92"/>
        <v>0</v>
      </c>
      <c r="Y272" s="383"/>
    </row>
    <row r="273" spans="1:25" ht="13.5" thickBot="1" x14ac:dyDescent="0.25">
      <c r="S273" s="12"/>
      <c r="T273" s="12"/>
      <c r="U273" s="12"/>
      <c r="V273" s="12"/>
      <c r="W273" s="12"/>
      <c r="X273" s="12"/>
      <c r="Y273" s="12"/>
    </row>
    <row r="274" spans="1:25" ht="13.5" thickBot="1" x14ac:dyDescent="0.25">
      <c r="A274" s="361" t="s">
        <v>36</v>
      </c>
      <c r="B274" s="359">
        <f>ROW(A274)</f>
        <v>274</v>
      </c>
      <c r="C274" s="363" t="s">
        <v>115</v>
      </c>
      <c r="D274" s="353">
        <f>SUM(B277:Y277)</f>
        <v>2102.35</v>
      </c>
      <c r="E274" s="363" t="s">
        <v>114</v>
      </c>
      <c r="F274" s="354">
        <f>D274/g/J274</f>
        <v>174.23319493133766</v>
      </c>
      <c r="G274" s="363" t="s">
        <v>56</v>
      </c>
      <c r="H274" s="64">
        <v>3.7</v>
      </c>
      <c r="I274" s="363" t="s">
        <v>271</v>
      </c>
      <c r="J274" s="355">
        <f>H274-L274</f>
        <v>1.23</v>
      </c>
      <c r="K274" s="363" t="s">
        <v>272</v>
      </c>
      <c r="L274" s="64">
        <v>2.4700000000000002</v>
      </c>
      <c r="M274" s="363" t="s">
        <v>57</v>
      </c>
      <c r="N274" s="65">
        <v>151</v>
      </c>
      <c r="O274" s="363" t="s">
        <v>59</v>
      </c>
      <c r="P274" s="65">
        <v>171</v>
      </c>
      <c r="Q274" s="363" t="s">
        <v>60</v>
      </c>
      <c r="R274" s="65">
        <v>247</v>
      </c>
      <c r="S274" s="363" t="s">
        <v>61</v>
      </c>
      <c r="T274" s="65">
        <v>90</v>
      </c>
      <c r="U274" s="363" t="s">
        <v>54</v>
      </c>
      <c r="V274" s="66" t="s">
        <v>118</v>
      </c>
      <c r="W274" s="12"/>
      <c r="X274" s="12"/>
      <c r="Y274" s="12"/>
    </row>
    <row r="275" spans="1:25" x14ac:dyDescent="0.2">
      <c r="A275" s="362" t="s">
        <v>33</v>
      </c>
      <c r="B275" s="370">
        <v>0</v>
      </c>
      <c r="C275" s="371">
        <v>0.05</v>
      </c>
      <c r="D275" s="371">
        <v>0.1</v>
      </c>
      <c r="E275" s="371">
        <v>1</v>
      </c>
      <c r="F275" s="371">
        <v>1.35</v>
      </c>
      <c r="G275" s="371">
        <v>1.75</v>
      </c>
      <c r="H275" s="371">
        <v>2.15</v>
      </c>
      <c r="I275" s="371">
        <v>2.25</v>
      </c>
      <c r="J275" s="371">
        <v>2.48</v>
      </c>
      <c r="K275" s="371">
        <v>2.6</v>
      </c>
      <c r="L275" s="371">
        <v>2.8</v>
      </c>
      <c r="M275" s="371">
        <v>2.8</v>
      </c>
      <c r="N275" s="371">
        <v>2.8</v>
      </c>
      <c r="O275" s="371">
        <v>2.8</v>
      </c>
      <c r="P275" s="371">
        <v>2.8</v>
      </c>
      <c r="Q275" s="371">
        <v>2.8</v>
      </c>
      <c r="R275" s="371">
        <v>2.8</v>
      </c>
      <c r="S275" s="371">
        <v>2.8</v>
      </c>
      <c r="T275" s="371">
        <v>2.8</v>
      </c>
      <c r="U275" s="371">
        <v>2.8</v>
      </c>
      <c r="V275" s="371">
        <v>2.8</v>
      </c>
      <c r="W275" s="371">
        <v>2.8</v>
      </c>
      <c r="X275" s="371">
        <v>2.8</v>
      </c>
      <c r="Y275" s="381">
        <v>1000</v>
      </c>
    </row>
    <row r="276" spans="1:25" x14ac:dyDescent="0.2">
      <c r="A276" s="378" t="s">
        <v>34</v>
      </c>
      <c r="B276" s="372">
        <v>0</v>
      </c>
      <c r="C276" s="373">
        <v>860</v>
      </c>
      <c r="D276" s="373">
        <v>840</v>
      </c>
      <c r="E276" s="373">
        <v>840</v>
      </c>
      <c r="F276" s="373">
        <v>850</v>
      </c>
      <c r="G276" s="373">
        <v>900</v>
      </c>
      <c r="H276" s="373">
        <v>1050</v>
      </c>
      <c r="I276" s="373">
        <v>1020</v>
      </c>
      <c r="J276" s="373">
        <v>120</v>
      </c>
      <c r="K276" s="373">
        <v>30</v>
      </c>
      <c r="L276" s="373">
        <v>0</v>
      </c>
      <c r="M276" s="373">
        <v>0</v>
      </c>
      <c r="N276" s="373">
        <v>0</v>
      </c>
      <c r="O276" s="373">
        <v>0</v>
      </c>
      <c r="P276" s="373">
        <v>0</v>
      </c>
      <c r="Q276" s="373">
        <v>0</v>
      </c>
      <c r="R276" s="373">
        <v>0</v>
      </c>
      <c r="S276" s="373">
        <v>0</v>
      </c>
      <c r="T276" s="373">
        <v>0</v>
      </c>
      <c r="U276" s="373">
        <v>0</v>
      </c>
      <c r="V276" s="373">
        <v>0</v>
      </c>
      <c r="W276" s="373">
        <v>0</v>
      </c>
      <c r="X276" s="373">
        <v>0</v>
      </c>
      <c r="Y276" s="382">
        <v>0</v>
      </c>
    </row>
    <row r="277" spans="1:25" ht="13.5" thickBot="1" x14ac:dyDescent="0.25">
      <c r="A277" s="379" t="s">
        <v>116</v>
      </c>
      <c r="B277" s="374">
        <f t="shared" ref="B277:K277" si="93">(C276+B276)*(C275-B275)/2</f>
        <v>21.5</v>
      </c>
      <c r="C277" s="375">
        <f t="shared" si="93"/>
        <v>42.5</v>
      </c>
      <c r="D277" s="375">
        <f t="shared" si="93"/>
        <v>756</v>
      </c>
      <c r="E277" s="375">
        <f t="shared" si="93"/>
        <v>295.75000000000006</v>
      </c>
      <c r="F277" s="375">
        <f t="shared" si="93"/>
        <v>349.99999999999994</v>
      </c>
      <c r="G277" s="375">
        <f t="shared" si="93"/>
        <v>389.99999999999989</v>
      </c>
      <c r="H277" s="375">
        <f t="shared" si="93"/>
        <v>103.50000000000009</v>
      </c>
      <c r="I277" s="375">
        <f t="shared" si="93"/>
        <v>131.1</v>
      </c>
      <c r="J277" s="375">
        <f>(K276+J276)*(K275-J275)/2</f>
        <v>9.0000000000000071</v>
      </c>
      <c r="K277" s="375">
        <f t="shared" si="93"/>
        <v>2.999999999999996</v>
      </c>
      <c r="L277" s="375">
        <f t="shared" ref="L277:V277" si="94">(M276+L276)*(M275-L275)/2</f>
        <v>0</v>
      </c>
      <c r="M277" s="375">
        <f t="shared" si="94"/>
        <v>0</v>
      </c>
      <c r="N277" s="375">
        <f t="shared" si="94"/>
        <v>0</v>
      </c>
      <c r="O277" s="375">
        <f t="shared" si="94"/>
        <v>0</v>
      </c>
      <c r="P277" s="375">
        <f t="shared" si="94"/>
        <v>0</v>
      </c>
      <c r="Q277" s="375">
        <f t="shared" si="94"/>
        <v>0</v>
      </c>
      <c r="R277" s="375">
        <f t="shared" si="94"/>
        <v>0</v>
      </c>
      <c r="S277" s="375">
        <f>(T276+S276)*(T275-S275)/2</f>
        <v>0</v>
      </c>
      <c r="T277" s="375">
        <f t="shared" si="94"/>
        <v>0</v>
      </c>
      <c r="U277" s="375">
        <f t="shared" si="94"/>
        <v>0</v>
      </c>
      <c r="V277" s="375">
        <f t="shared" si="94"/>
        <v>0</v>
      </c>
      <c r="W277" s="375">
        <f>(X276+W276)*(X275-W275)/2</f>
        <v>0</v>
      </c>
      <c r="X277" s="375">
        <f>(Y276+X276)*(Y275-X275)/2</f>
        <v>0</v>
      </c>
      <c r="Y277" s="369"/>
    </row>
    <row r="278" spans="1:25" ht="13.5" thickBot="1" x14ac:dyDescent="0.25"/>
    <row r="279" spans="1:25" ht="13.5" thickBot="1" x14ac:dyDescent="0.25">
      <c r="A279" s="361" t="s">
        <v>549</v>
      </c>
      <c r="B279" s="359">
        <f>ROW(A279)</f>
        <v>279</v>
      </c>
      <c r="C279" s="363" t="s">
        <v>115</v>
      </c>
      <c r="D279" s="353">
        <f>SUM(B282:Y282)</f>
        <v>2058.37</v>
      </c>
      <c r="E279" s="363" t="s">
        <v>114</v>
      </c>
      <c r="F279" s="354">
        <f>D279/g/J279</f>
        <v>203.12066731598335</v>
      </c>
      <c r="G279" s="363" t="s">
        <v>56</v>
      </c>
      <c r="H279" s="64">
        <v>1.6850000000000001</v>
      </c>
      <c r="I279" s="363" t="s">
        <v>271</v>
      </c>
      <c r="J279" s="355">
        <f>H279-L279</f>
        <v>1.0329999999999999</v>
      </c>
      <c r="K279" s="363" t="s">
        <v>272</v>
      </c>
      <c r="L279" s="64">
        <v>0.65200000000000002</v>
      </c>
      <c r="M279" s="363" t="s">
        <v>57</v>
      </c>
      <c r="N279" s="65">
        <v>250</v>
      </c>
      <c r="O279" s="363" t="s">
        <v>59</v>
      </c>
      <c r="P279" s="65">
        <v>240</v>
      </c>
      <c r="Q279" s="363" t="s">
        <v>60</v>
      </c>
      <c r="R279" s="65">
        <v>488</v>
      </c>
      <c r="S279" s="363" t="s">
        <v>61</v>
      </c>
      <c r="T279" s="65">
        <v>54</v>
      </c>
      <c r="U279" s="363" t="s">
        <v>54</v>
      </c>
      <c r="V279" s="66" t="s">
        <v>118</v>
      </c>
      <c r="W279" s="12"/>
      <c r="X279" s="12"/>
      <c r="Y279" s="12"/>
    </row>
    <row r="280" spans="1:25" x14ac:dyDescent="0.2">
      <c r="A280" s="362" t="s">
        <v>33</v>
      </c>
      <c r="B280" s="370">
        <v>0</v>
      </c>
      <c r="C280" s="371">
        <v>0.05</v>
      </c>
      <c r="D280" s="371">
        <v>0.5</v>
      </c>
      <c r="E280" s="371">
        <v>1</v>
      </c>
      <c r="F280" s="371">
        <v>1.5</v>
      </c>
      <c r="G280" s="371">
        <v>2</v>
      </c>
      <c r="H280" s="371">
        <v>2.5</v>
      </c>
      <c r="I280" s="371">
        <v>2.97</v>
      </c>
      <c r="J280" s="371">
        <v>3.2</v>
      </c>
      <c r="K280" s="371">
        <v>3.47</v>
      </c>
      <c r="L280" s="371">
        <v>3.59</v>
      </c>
      <c r="M280" s="371">
        <v>3.59</v>
      </c>
      <c r="N280" s="371">
        <v>3.59</v>
      </c>
      <c r="O280" s="371">
        <v>3.59</v>
      </c>
      <c r="P280" s="371">
        <v>3.59</v>
      </c>
      <c r="Q280" s="371">
        <v>3.59</v>
      </c>
      <c r="R280" s="371">
        <v>3.59</v>
      </c>
      <c r="S280" s="371">
        <v>3.59</v>
      </c>
      <c r="T280" s="371">
        <v>3.59</v>
      </c>
      <c r="U280" s="371">
        <v>3.59</v>
      </c>
      <c r="V280" s="371">
        <v>3.59</v>
      </c>
      <c r="W280" s="371">
        <v>3.59</v>
      </c>
      <c r="X280" s="371">
        <v>3.59</v>
      </c>
      <c r="Y280" s="381">
        <v>1000</v>
      </c>
    </row>
    <row r="281" spans="1:25" x14ac:dyDescent="0.2">
      <c r="A281" s="378" t="s">
        <v>34</v>
      </c>
      <c r="B281" s="372">
        <v>0</v>
      </c>
      <c r="C281" s="373">
        <v>893</v>
      </c>
      <c r="D281" s="373">
        <v>798</v>
      </c>
      <c r="E281" s="373">
        <v>739</v>
      </c>
      <c r="F281" s="373">
        <v>659</v>
      </c>
      <c r="G281" s="373">
        <v>586</v>
      </c>
      <c r="H281" s="373">
        <v>513</v>
      </c>
      <c r="I281" s="373">
        <v>417</v>
      </c>
      <c r="J281" s="373">
        <v>225</v>
      </c>
      <c r="K281" s="373">
        <v>67</v>
      </c>
      <c r="L281" s="373">
        <v>0</v>
      </c>
      <c r="M281" s="373">
        <v>0</v>
      </c>
      <c r="N281" s="373">
        <v>0</v>
      </c>
      <c r="O281" s="373">
        <v>0</v>
      </c>
      <c r="P281" s="373">
        <v>0</v>
      </c>
      <c r="Q281" s="373">
        <v>0</v>
      </c>
      <c r="R281" s="373">
        <v>0</v>
      </c>
      <c r="S281" s="373">
        <v>0</v>
      </c>
      <c r="T281" s="373">
        <v>0</v>
      </c>
      <c r="U281" s="373">
        <v>0</v>
      </c>
      <c r="V281" s="373">
        <v>0</v>
      </c>
      <c r="W281" s="373">
        <v>0</v>
      </c>
      <c r="X281" s="373">
        <v>0</v>
      </c>
      <c r="Y281" s="382">
        <v>0</v>
      </c>
    </row>
    <row r="282" spans="1:25" ht="13.5" thickBot="1" x14ac:dyDescent="0.25">
      <c r="A282" s="380" t="s">
        <v>116</v>
      </c>
      <c r="B282" s="374">
        <f t="shared" ref="B282:V282" si="95">(C281+B281)*(C280-B280)/2</f>
        <v>22.325000000000003</v>
      </c>
      <c r="C282" s="375">
        <f t="shared" si="95"/>
        <v>380.47500000000002</v>
      </c>
      <c r="D282" s="375">
        <f t="shared" si="95"/>
        <v>384.25</v>
      </c>
      <c r="E282" s="375">
        <f t="shared" si="95"/>
        <v>349.5</v>
      </c>
      <c r="F282" s="375">
        <f t="shared" si="95"/>
        <v>311.25</v>
      </c>
      <c r="G282" s="375">
        <f t="shared" si="95"/>
        <v>274.75</v>
      </c>
      <c r="H282" s="375">
        <f t="shared" si="95"/>
        <v>218.5500000000001</v>
      </c>
      <c r="I282" s="375">
        <f t="shared" si="95"/>
        <v>73.83</v>
      </c>
      <c r="J282" s="375">
        <f>(K281+J281)*(K280-J280)/2</f>
        <v>39.42</v>
      </c>
      <c r="K282" s="375">
        <f t="shared" si="95"/>
        <v>4.0199999999999889</v>
      </c>
      <c r="L282" s="375">
        <f t="shared" si="95"/>
        <v>0</v>
      </c>
      <c r="M282" s="375">
        <f t="shared" si="95"/>
        <v>0</v>
      </c>
      <c r="N282" s="375">
        <f t="shared" si="95"/>
        <v>0</v>
      </c>
      <c r="O282" s="375">
        <f t="shared" si="95"/>
        <v>0</v>
      </c>
      <c r="P282" s="375">
        <f t="shared" si="95"/>
        <v>0</v>
      </c>
      <c r="Q282" s="375">
        <f t="shared" si="95"/>
        <v>0</v>
      </c>
      <c r="R282" s="375">
        <f t="shared" si="95"/>
        <v>0</v>
      </c>
      <c r="S282" s="375">
        <f>(T281+S281)*(T280-S280)/2</f>
        <v>0</v>
      </c>
      <c r="T282" s="375">
        <f t="shared" si="95"/>
        <v>0</v>
      </c>
      <c r="U282" s="375">
        <f t="shared" si="95"/>
        <v>0</v>
      </c>
      <c r="V282" s="375">
        <f t="shared" si="95"/>
        <v>0</v>
      </c>
      <c r="W282" s="375">
        <f>(X281+W281)*(X280-W280)/2</f>
        <v>0</v>
      </c>
      <c r="X282" s="375">
        <f>(Y281+X281)*(Y280-X280)/2</f>
        <v>0</v>
      </c>
      <c r="Y282" s="369"/>
    </row>
    <row r="283" spans="1:25" ht="13.5" thickBot="1" x14ac:dyDescent="0.2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3.5" thickBot="1" x14ac:dyDescent="0.25">
      <c r="A284" s="361" t="s">
        <v>552</v>
      </c>
      <c r="B284" s="359">
        <f>ROW(A284)</f>
        <v>284</v>
      </c>
      <c r="C284" s="363" t="s">
        <v>115</v>
      </c>
      <c r="D284" s="353">
        <f>SUM(B287:Y287)</f>
        <v>1998.2428999999995</v>
      </c>
      <c r="E284" s="363" t="s">
        <v>114</v>
      </c>
      <c r="F284" s="354">
        <f>D284/g/J284</f>
        <v>207.42819268753979</v>
      </c>
      <c r="G284" s="363" t="s">
        <v>56</v>
      </c>
      <c r="H284" s="64">
        <v>1.6319999999999999</v>
      </c>
      <c r="I284" s="363" t="s">
        <v>271</v>
      </c>
      <c r="J284" s="355">
        <f>H284-L284</f>
        <v>0.98199999999999987</v>
      </c>
      <c r="K284" s="363" t="s">
        <v>272</v>
      </c>
      <c r="L284" s="64">
        <v>0.65</v>
      </c>
      <c r="M284" s="363" t="s">
        <v>57</v>
      </c>
      <c r="N284" s="65">
        <v>250</v>
      </c>
      <c r="O284" s="363" t="s">
        <v>59</v>
      </c>
      <c r="P284" s="65">
        <v>240</v>
      </c>
      <c r="Q284" s="363" t="s">
        <v>60</v>
      </c>
      <c r="R284" s="65">
        <v>488</v>
      </c>
      <c r="S284" s="363" t="s">
        <v>61</v>
      </c>
      <c r="T284" s="65">
        <v>54</v>
      </c>
      <c r="U284" s="363" t="s">
        <v>54</v>
      </c>
      <c r="V284" s="66" t="s">
        <v>118</v>
      </c>
      <c r="W284" s="12"/>
      <c r="X284" s="12"/>
      <c r="Y284" s="12"/>
    </row>
    <row r="285" spans="1:25" x14ac:dyDescent="0.2">
      <c r="A285" s="362" t="s">
        <v>33</v>
      </c>
      <c r="B285" s="373">
        <v>0</v>
      </c>
      <c r="C285" s="373">
        <v>0.01</v>
      </c>
      <c r="D285" s="373">
        <v>0.02</v>
      </c>
      <c r="E285" s="373">
        <v>0.05</v>
      </c>
      <c r="F285" s="373">
        <v>0.1</v>
      </c>
      <c r="G285" s="373">
        <v>0.2</v>
      </c>
      <c r="H285" s="373">
        <v>0.4</v>
      </c>
      <c r="I285" s="373">
        <v>0.8</v>
      </c>
      <c r="J285" s="373">
        <v>0.9</v>
      </c>
      <c r="K285" s="373">
        <v>1</v>
      </c>
      <c r="L285" s="373">
        <v>1.1000000000000001</v>
      </c>
      <c r="M285" s="373">
        <v>1.2</v>
      </c>
      <c r="N285" s="373">
        <v>1.3</v>
      </c>
      <c r="O285" s="373">
        <v>1.4</v>
      </c>
      <c r="P285" s="373">
        <v>1.55</v>
      </c>
      <c r="Q285" s="373">
        <v>1.6</v>
      </c>
      <c r="R285" s="373">
        <v>1.62</v>
      </c>
      <c r="S285" s="373">
        <v>1.64</v>
      </c>
      <c r="T285" s="373">
        <v>1.66</v>
      </c>
      <c r="U285" s="373">
        <v>1.67</v>
      </c>
      <c r="V285" s="373">
        <v>1.68</v>
      </c>
      <c r="W285" s="533">
        <v>1.69</v>
      </c>
      <c r="X285" s="533">
        <v>1.7</v>
      </c>
      <c r="Y285" s="381">
        <v>1000</v>
      </c>
    </row>
    <row r="286" spans="1:25" x14ac:dyDescent="0.2">
      <c r="A286" s="378" t="s">
        <v>34</v>
      </c>
      <c r="B286" s="373">
        <v>0</v>
      </c>
      <c r="C286" s="373">
        <v>492.25</v>
      </c>
      <c r="D286" s="373">
        <v>1369.46</v>
      </c>
      <c r="E286" s="373">
        <v>1236.01</v>
      </c>
      <c r="F286" s="373">
        <v>1279.47</v>
      </c>
      <c r="G286" s="373">
        <v>1311.39</v>
      </c>
      <c r="H286" s="373">
        <v>1331.39</v>
      </c>
      <c r="I286" s="373">
        <v>1304.08</v>
      </c>
      <c r="J286" s="373">
        <v>1280.6199999999999</v>
      </c>
      <c r="K286" s="373">
        <v>1249.8599999999999</v>
      </c>
      <c r="L286" s="373">
        <v>1217.94</v>
      </c>
      <c r="M286" s="373">
        <v>1199.29</v>
      </c>
      <c r="N286" s="373">
        <v>1158.77</v>
      </c>
      <c r="O286" s="373">
        <v>1112.56</v>
      </c>
      <c r="P286" s="373">
        <v>941.81</v>
      </c>
      <c r="Q286" s="373">
        <v>726.07</v>
      </c>
      <c r="R286" s="373">
        <v>559.16999999999996</v>
      </c>
      <c r="S286" s="373">
        <v>399.95</v>
      </c>
      <c r="T286" s="373">
        <v>317.66000000000003</v>
      </c>
      <c r="U286" s="373">
        <v>247.28</v>
      </c>
      <c r="V286" s="373">
        <v>198.05</v>
      </c>
      <c r="W286" s="373">
        <v>67.3</v>
      </c>
      <c r="X286" s="373">
        <v>0</v>
      </c>
      <c r="Y286" s="382">
        <v>0</v>
      </c>
    </row>
    <row r="287" spans="1:25" ht="13.5" thickBot="1" x14ac:dyDescent="0.25">
      <c r="A287" s="379" t="s">
        <v>116</v>
      </c>
      <c r="B287" s="374">
        <f t="shared" ref="B287:V287" si="96">(C286+B286)*(C285-B285)/2</f>
        <v>2.4612500000000002</v>
      </c>
      <c r="C287" s="375">
        <f t="shared" si="96"/>
        <v>9.3085500000000003</v>
      </c>
      <c r="D287" s="375">
        <f t="shared" si="96"/>
        <v>39.08205000000001</v>
      </c>
      <c r="E287" s="375">
        <f t="shared" si="96"/>
        <v>62.887</v>
      </c>
      <c r="F287" s="375">
        <f t="shared" si="96"/>
        <v>129.54300000000001</v>
      </c>
      <c r="G287" s="375">
        <f t="shared" si="96"/>
        <v>264.27800000000002</v>
      </c>
      <c r="H287" s="375">
        <f t="shared" si="96"/>
        <v>527.09400000000005</v>
      </c>
      <c r="I287" s="375">
        <f t="shared" si="96"/>
        <v>129.23499999999996</v>
      </c>
      <c r="J287" s="375">
        <f>(K286+J286)*(K285-J285)/2</f>
        <v>126.52399999999994</v>
      </c>
      <c r="K287" s="375">
        <f t="shared" si="96"/>
        <v>123.39000000000011</v>
      </c>
      <c r="L287" s="375">
        <f t="shared" si="96"/>
        <v>120.86149999999984</v>
      </c>
      <c r="M287" s="375">
        <f t="shared" si="96"/>
        <v>117.90300000000011</v>
      </c>
      <c r="N287" s="375">
        <f t="shared" si="96"/>
        <v>113.56649999999985</v>
      </c>
      <c r="O287" s="375">
        <f t="shared" si="96"/>
        <v>154.07775000000012</v>
      </c>
      <c r="P287" s="375">
        <f t="shared" si="96"/>
        <v>41.697000000000038</v>
      </c>
      <c r="Q287" s="375">
        <f t="shared" si="96"/>
        <v>12.852400000000012</v>
      </c>
      <c r="R287" s="375">
        <f t="shared" si="96"/>
        <v>9.5911999999999011</v>
      </c>
      <c r="S287" s="375">
        <f>(T286+S286)*(T285-S285)/2</f>
        <v>7.1761000000000061</v>
      </c>
      <c r="T287" s="375">
        <f t="shared" si="96"/>
        <v>2.8247000000000027</v>
      </c>
      <c r="U287" s="375">
        <f t="shared" si="96"/>
        <v>2.226650000000002</v>
      </c>
      <c r="V287" s="375">
        <f t="shared" si="96"/>
        <v>1.3267500000000012</v>
      </c>
      <c r="W287" s="375">
        <f>(X286+W286)*(X285-W285)/2</f>
        <v>0.3365000000000003</v>
      </c>
      <c r="X287" s="375">
        <f>(Y286+X286)*(Y285-X285)/2</f>
        <v>0</v>
      </c>
      <c r="Y287" s="369"/>
    </row>
    <row r="288" spans="1:25" ht="13.5" thickBot="1" x14ac:dyDescent="0.25">
      <c r="A288" s="12"/>
      <c r="L288" s="12"/>
      <c r="M288" s="12"/>
      <c r="N288" s="12"/>
      <c r="O288" s="12"/>
      <c r="P288" s="12"/>
      <c r="Q288" s="12"/>
      <c r="R288" s="12"/>
      <c r="S288" s="12"/>
      <c r="T288" s="12"/>
      <c r="U288" s="12"/>
      <c r="V288" s="12"/>
      <c r="W288" s="12"/>
      <c r="X288" s="12"/>
      <c r="Y288" s="12"/>
    </row>
    <row r="289" spans="1:25" ht="13.5" thickBot="1" x14ac:dyDescent="0.25">
      <c r="A289" s="361" t="s">
        <v>550</v>
      </c>
      <c r="B289" s="359">
        <f>ROW(A289)</f>
        <v>289</v>
      </c>
      <c r="C289" s="363" t="s">
        <v>115</v>
      </c>
      <c r="D289" s="353">
        <f>SUM(B292:Y292)</f>
        <v>3739.0284999999994</v>
      </c>
      <c r="E289" s="363" t="s">
        <v>114</v>
      </c>
      <c r="F289" s="354">
        <f>D289/g/J289</f>
        <v>203.4941790441234</v>
      </c>
      <c r="G289" s="363" t="s">
        <v>56</v>
      </c>
      <c r="H289" s="64">
        <v>3.5110000000000001</v>
      </c>
      <c r="I289" s="363" t="s">
        <v>271</v>
      </c>
      <c r="J289" s="355">
        <f>H289-L289</f>
        <v>1.8730000000000002</v>
      </c>
      <c r="K289" s="363" t="s">
        <v>272</v>
      </c>
      <c r="L289" s="64">
        <v>1.6379999999999999</v>
      </c>
      <c r="M289" s="363" t="s">
        <v>57</v>
      </c>
      <c r="N289" s="65">
        <v>243</v>
      </c>
      <c r="O289" s="363" t="s">
        <v>59</v>
      </c>
      <c r="P289" s="65">
        <v>249</v>
      </c>
      <c r="Q289" s="363" t="s">
        <v>60</v>
      </c>
      <c r="R289" s="65">
        <v>498</v>
      </c>
      <c r="S289" s="363" t="s">
        <v>61</v>
      </c>
      <c r="T289" s="65">
        <v>75</v>
      </c>
      <c r="U289" s="363" t="s">
        <v>54</v>
      </c>
      <c r="V289" s="66" t="s">
        <v>118</v>
      </c>
      <c r="W289" s="12"/>
      <c r="X289" s="12"/>
      <c r="Y289" s="12"/>
    </row>
    <row r="290" spans="1:25" x14ac:dyDescent="0.2">
      <c r="A290" s="362" t="s">
        <v>33</v>
      </c>
      <c r="B290" s="370">
        <v>0</v>
      </c>
      <c r="C290" s="371">
        <v>0.01</v>
      </c>
      <c r="D290" s="371">
        <v>0.1</v>
      </c>
      <c r="E290" s="371">
        <v>0.12</v>
      </c>
      <c r="F290" s="371">
        <v>0.26</v>
      </c>
      <c r="G290" s="371">
        <v>0.71</v>
      </c>
      <c r="H290" s="371">
        <v>1.28</v>
      </c>
      <c r="I290" s="371">
        <v>2.0499999999999998</v>
      </c>
      <c r="J290" s="371">
        <v>2.41</v>
      </c>
      <c r="K290" s="371">
        <v>2.83</v>
      </c>
      <c r="L290" s="371">
        <v>3.25</v>
      </c>
      <c r="M290" s="371">
        <v>3.65</v>
      </c>
      <c r="N290" s="371">
        <v>3.8</v>
      </c>
      <c r="O290" s="371">
        <v>4</v>
      </c>
      <c r="P290" s="371">
        <v>4.0999999999999996</v>
      </c>
      <c r="Q290" s="371">
        <v>4.1900000000000004</v>
      </c>
      <c r="R290" s="371">
        <v>4.3099999999999996</v>
      </c>
      <c r="S290" s="371">
        <v>4.41</v>
      </c>
      <c r="T290" s="371">
        <v>4.5199999999999996</v>
      </c>
      <c r="U290" s="371">
        <v>4.5999999999999996</v>
      </c>
      <c r="V290" s="371">
        <v>4.6500000000000004</v>
      </c>
      <c r="W290" s="371">
        <v>4.67</v>
      </c>
      <c r="X290" s="371">
        <v>4.68</v>
      </c>
      <c r="Y290" s="381">
        <v>1000</v>
      </c>
    </row>
    <row r="291" spans="1:25" x14ac:dyDescent="0.2">
      <c r="A291" s="378" t="s">
        <v>34</v>
      </c>
      <c r="B291" s="372">
        <v>27</v>
      </c>
      <c r="C291" s="373">
        <v>402.4</v>
      </c>
      <c r="D291" s="373">
        <v>1286</v>
      </c>
      <c r="E291" s="373">
        <v>1257</v>
      </c>
      <c r="F291" s="373">
        <v>1042</v>
      </c>
      <c r="G291" s="373">
        <v>1027</v>
      </c>
      <c r="H291" s="373">
        <v>998.4</v>
      </c>
      <c r="I291" s="373">
        <v>901.4</v>
      </c>
      <c r="J291" s="373">
        <v>849.6</v>
      </c>
      <c r="K291" s="373">
        <v>763.5</v>
      </c>
      <c r="L291" s="373">
        <v>707.1</v>
      </c>
      <c r="M291" s="373">
        <v>655.1</v>
      </c>
      <c r="N291" s="373">
        <v>651.70000000000005</v>
      </c>
      <c r="O291" s="373">
        <v>624.1</v>
      </c>
      <c r="P291" s="373">
        <v>601.29999999999995</v>
      </c>
      <c r="Q291" s="373">
        <v>536.20000000000005</v>
      </c>
      <c r="R291" s="373">
        <v>415.7</v>
      </c>
      <c r="S291" s="373">
        <v>270.2</v>
      </c>
      <c r="T291" s="373">
        <v>140.19999999999999</v>
      </c>
      <c r="U291" s="373">
        <v>76.900000000000006</v>
      </c>
      <c r="V291" s="373">
        <v>54.9</v>
      </c>
      <c r="W291" s="373">
        <v>40.200000000000003</v>
      </c>
      <c r="X291" s="373">
        <v>0</v>
      </c>
      <c r="Y291" s="382">
        <v>0</v>
      </c>
    </row>
    <row r="292" spans="1:25" ht="13.5" thickBot="1" x14ac:dyDescent="0.25">
      <c r="A292" s="379" t="s">
        <v>116</v>
      </c>
      <c r="B292" s="374">
        <f t="shared" ref="B292:V292" si="97">(C291+B291)*(C290-B290)/2</f>
        <v>2.1469999999999998</v>
      </c>
      <c r="C292" s="375">
        <f t="shared" si="97"/>
        <v>75.978000000000009</v>
      </c>
      <c r="D292" s="375">
        <f t="shared" si="97"/>
        <v>25.429999999999989</v>
      </c>
      <c r="E292" s="375">
        <f t="shared" si="97"/>
        <v>160.93</v>
      </c>
      <c r="F292" s="375">
        <f t="shared" si="97"/>
        <v>465.52499999999998</v>
      </c>
      <c r="G292" s="375">
        <f t="shared" si="97"/>
        <v>577.23900000000003</v>
      </c>
      <c r="H292" s="375">
        <f t="shared" si="97"/>
        <v>731.42299999999977</v>
      </c>
      <c r="I292" s="375">
        <f t="shared" si="97"/>
        <v>315.18000000000029</v>
      </c>
      <c r="J292" s="375">
        <f>(K291+J291)*(K290-J290)/2</f>
        <v>338.75099999999992</v>
      </c>
      <c r="K292" s="375">
        <f t="shared" si="97"/>
        <v>308.82599999999991</v>
      </c>
      <c r="L292" s="375">
        <f t="shared" si="97"/>
        <v>272.43999999999994</v>
      </c>
      <c r="M292" s="375">
        <f t="shared" si="97"/>
        <v>98.009999999999962</v>
      </c>
      <c r="N292" s="375">
        <f t="shared" si="97"/>
        <v>127.58000000000013</v>
      </c>
      <c r="O292" s="375">
        <f t="shared" si="97"/>
        <v>61.26999999999979</v>
      </c>
      <c r="P292" s="375">
        <f t="shared" si="97"/>
        <v>51.187500000000426</v>
      </c>
      <c r="Q292" s="375">
        <f t="shared" si="97"/>
        <v>57.113999999999635</v>
      </c>
      <c r="R292" s="375">
        <f t="shared" si="97"/>
        <v>34.295000000000179</v>
      </c>
      <c r="S292" s="375">
        <f>(T291+S291)*(T290-S290)/2</f>
        <v>22.571999999999882</v>
      </c>
      <c r="T292" s="375">
        <f t="shared" si="97"/>
        <v>8.6840000000000082</v>
      </c>
      <c r="U292" s="375">
        <f t="shared" si="97"/>
        <v>3.295000000000047</v>
      </c>
      <c r="V292" s="375">
        <f t="shared" si="97"/>
        <v>0.95099999999997964</v>
      </c>
      <c r="W292" s="375">
        <f>(X291+W291)*(X290-W290)/2</f>
        <v>0.20099999999999574</v>
      </c>
      <c r="X292" s="375">
        <f>(Y291+X291)*(Y290-X290)/2</f>
        <v>0</v>
      </c>
      <c r="Y292" s="369"/>
    </row>
    <row r="293" spans="1:25" ht="13.5" thickBot="1" x14ac:dyDescent="0.2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3.5" thickBot="1" x14ac:dyDescent="0.25">
      <c r="A294" s="361" t="s">
        <v>556</v>
      </c>
      <c r="B294" s="359">
        <f>ROW(A294)</f>
        <v>294</v>
      </c>
      <c r="C294" s="363" t="s">
        <v>115</v>
      </c>
      <c r="D294" s="353">
        <f>SUM(B297:Y297)</f>
        <v>14273.976008499998</v>
      </c>
      <c r="E294" s="363" t="s">
        <v>114</v>
      </c>
      <c r="F294" s="354">
        <f>D294/g/J294</f>
        <v>169.50645688990159</v>
      </c>
      <c r="G294" s="363" t="s">
        <v>56</v>
      </c>
      <c r="H294" s="64">
        <v>13.247999999999999</v>
      </c>
      <c r="I294" s="363" t="s">
        <v>271</v>
      </c>
      <c r="J294" s="355">
        <f>H294-L294</f>
        <v>8.5839999999999996</v>
      </c>
      <c r="K294" s="363" t="s">
        <v>272</v>
      </c>
      <c r="L294" s="64">
        <v>4.6639999999999997</v>
      </c>
      <c r="M294" s="363" t="s">
        <v>57</v>
      </c>
      <c r="N294" s="65">
        <f>R294/2</f>
        <v>505</v>
      </c>
      <c r="O294" s="363" t="s">
        <v>59</v>
      </c>
      <c r="P294" s="65">
        <v>505</v>
      </c>
      <c r="Q294" s="363" t="s">
        <v>60</v>
      </c>
      <c r="R294" s="65">
        <v>1010</v>
      </c>
      <c r="S294" s="363" t="s">
        <v>61</v>
      </c>
      <c r="T294" s="65">
        <v>98</v>
      </c>
      <c r="U294" s="363" t="s">
        <v>54</v>
      </c>
      <c r="V294" s="66" t="s">
        <v>118</v>
      </c>
      <c r="W294" s="12"/>
      <c r="X294" s="12"/>
      <c r="Y294" s="12"/>
    </row>
    <row r="295" spans="1:25" x14ac:dyDescent="0.2">
      <c r="A295" s="362" t="s">
        <v>33</v>
      </c>
      <c r="B295" s="370">
        <v>0</v>
      </c>
      <c r="C295" s="371">
        <v>0.04</v>
      </c>
      <c r="D295" s="371">
        <v>0.08</v>
      </c>
      <c r="E295" s="371">
        <v>0.20100000000000001</v>
      </c>
      <c r="F295" s="371">
        <v>0.44700000000000001</v>
      </c>
      <c r="G295" s="371">
        <v>0.67800000000000005</v>
      </c>
      <c r="H295" s="371">
        <v>0.75800000000000001</v>
      </c>
      <c r="I295" s="371">
        <v>0.85299999999999998</v>
      </c>
      <c r="J295" s="371">
        <v>2.4249999999999998</v>
      </c>
      <c r="K295" s="371">
        <v>2.52</v>
      </c>
      <c r="L295" s="371">
        <v>2.7610000000000001</v>
      </c>
      <c r="M295" s="371">
        <v>3.4340000000000002</v>
      </c>
      <c r="N295" s="371">
        <v>3.7149999999999999</v>
      </c>
      <c r="O295" s="371">
        <v>4.077</v>
      </c>
      <c r="P295" s="371">
        <v>4.96</v>
      </c>
      <c r="Q295" s="371">
        <v>5.492</v>
      </c>
      <c r="R295" s="371">
        <v>6.1050000000000004</v>
      </c>
      <c r="S295" s="371">
        <v>6.4459999999999997</v>
      </c>
      <c r="T295" s="371">
        <v>6.6470000000000002</v>
      </c>
      <c r="U295" s="371">
        <v>7.0739999999999998</v>
      </c>
      <c r="V295" s="371">
        <v>7.2389999999999999</v>
      </c>
      <c r="W295" s="533">
        <v>7.2539999999999996</v>
      </c>
      <c r="X295" s="371">
        <v>8</v>
      </c>
      <c r="Y295" s="381">
        <v>1000</v>
      </c>
    </row>
    <row r="296" spans="1:25" x14ac:dyDescent="0.2">
      <c r="A296" s="378" t="s">
        <v>34</v>
      </c>
      <c r="B296" s="372">
        <v>0</v>
      </c>
      <c r="C296" s="373">
        <v>1382.46</v>
      </c>
      <c r="D296" s="373">
        <v>1699.1469999999999</v>
      </c>
      <c r="E296" s="373">
        <v>1781.364</v>
      </c>
      <c r="F296" s="373">
        <v>1793.5440000000001</v>
      </c>
      <c r="G296" s="373">
        <v>1820.95</v>
      </c>
      <c r="H296" s="373">
        <v>1927.527</v>
      </c>
      <c r="I296" s="373">
        <v>1842.2660000000001</v>
      </c>
      <c r="J296" s="373">
        <v>2088.9160000000002</v>
      </c>
      <c r="K296" s="373">
        <v>2180.268</v>
      </c>
      <c r="L296" s="373">
        <v>2198.538</v>
      </c>
      <c r="M296" s="373">
        <v>2213.7640000000001</v>
      </c>
      <c r="N296" s="373">
        <v>2268.5749999999998</v>
      </c>
      <c r="O296" s="373">
        <v>2299.0259999999998</v>
      </c>
      <c r="P296" s="373">
        <v>2238.1239999999998</v>
      </c>
      <c r="Q296" s="373">
        <v>2161.998</v>
      </c>
      <c r="R296" s="373">
        <v>2024.97</v>
      </c>
      <c r="S296" s="373">
        <v>1878.806</v>
      </c>
      <c r="T296" s="373">
        <v>1668.6969999999999</v>
      </c>
      <c r="U296" s="373">
        <v>602.923</v>
      </c>
      <c r="V296" s="373">
        <v>140.07300000000001</v>
      </c>
      <c r="W296" s="373">
        <v>0</v>
      </c>
      <c r="X296" s="373">
        <v>0</v>
      </c>
      <c r="Y296" s="382">
        <v>0</v>
      </c>
    </row>
    <row r="297" spans="1:25" ht="13.5" thickBot="1" x14ac:dyDescent="0.25">
      <c r="A297" s="379" t="s">
        <v>116</v>
      </c>
      <c r="B297" s="374">
        <f t="shared" ref="B297:X297" si="98">(C296+B296)*(C295-B295)/2</f>
        <v>27.6492</v>
      </c>
      <c r="C297" s="375">
        <f t="shared" si="98"/>
        <v>61.63214</v>
      </c>
      <c r="D297" s="375">
        <f t="shared" si="98"/>
        <v>210.57091550000001</v>
      </c>
      <c r="E297" s="375">
        <f t="shared" si="98"/>
        <v>439.71368400000006</v>
      </c>
      <c r="F297" s="375">
        <f t="shared" si="98"/>
        <v>417.47405700000007</v>
      </c>
      <c r="G297" s="375">
        <f t="shared" si="98"/>
        <v>149.93907999999993</v>
      </c>
      <c r="H297" s="375">
        <f t="shared" si="98"/>
        <v>179.06516749999994</v>
      </c>
      <c r="I297" s="375">
        <f t="shared" si="98"/>
        <v>3089.909052</v>
      </c>
      <c r="J297" s="375">
        <f t="shared" si="98"/>
        <v>202.78624000000042</v>
      </c>
      <c r="K297" s="375">
        <f t="shared" si="98"/>
        <v>527.64612300000033</v>
      </c>
      <c r="L297" s="375">
        <f t="shared" si="98"/>
        <v>1484.7396229999999</v>
      </c>
      <c r="M297" s="375">
        <f t="shared" si="98"/>
        <v>629.76862949999929</v>
      </c>
      <c r="N297" s="375">
        <f t="shared" si="98"/>
        <v>826.7357810000002</v>
      </c>
      <c r="O297" s="375">
        <f t="shared" si="98"/>
        <v>2003.1517249999999</v>
      </c>
      <c r="P297" s="375">
        <f t="shared" si="98"/>
        <v>1170.432452</v>
      </c>
      <c r="Q297" s="375">
        <f t="shared" si="98"/>
        <v>1283.3056920000008</v>
      </c>
      <c r="R297" s="375">
        <f t="shared" si="98"/>
        <v>665.5938079999986</v>
      </c>
      <c r="S297" s="375">
        <f t="shared" si="98"/>
        <v>356.52405150000089</v>
      </c>
      <c r="T297" s="375">
        <f t="shared" si="98"/>
        <v>484.99086999999952</v>
      </c>
      <c r="U297" s="375">
        <f t="shared" si="98"/>
        <v>61.297170000000008</v>
      </c>
      <c r="V297" s="375">
        <f t="shared" si="98"/>
        <v>1.0505474999999778</v>
      </c>
      <c r="W297" s="375">
        <f t="shared" si="98"/>
        <v>0</v>
      </c>
      <c r="X297" s="375">
        <f t="shared" si="98"/>
        <v>0</v>
      </c>
      <c r="Y297" s="369"/>
    </row>
    <row r="298" spans="1:25" ht="13.5" thickBot="1" x14ac:dyDescent="0.25">
      <c r="A298" s="12"/>
      <c r="L298" s="12"/>
      <c r="M298" s="12"/>
      <c r="N298" s="12"/>
      <c r="O298" s="12"/>
      <c r="P298" s="12"/>
      <c r="Q298" s="12"/>
      <c r="R298" s="12"/>
      <c r="S298" s="12"/>
      <c r="T298" s="12"/>
      <c r="U298" s="12"/>
      <c r="V298" s="12"/>
      <c r="W298" s="12"/>
      <c r="X298" s="12"/>
      <c r="Y298" s="12"/>
    </row>
    <row r="299" spans="1:25" ht="13.5" thickBot="1" x14ac:dyDescent="0.25">
      <c r="A299" s="361" t="s">
        <v>318</v>
      </c>
      <c r="B299" s="359">
        <f>ROW(A299)</f>
        <v>299</v>
      </c>
      <c r="C299" s="363" t="s">
        <v>115</v>
      </c>
      <c r="D299" s="353">
        <f>SUM(B302:Y302)</f>
        <v>7412.4371409999985</v>
      </c>
      <c r="E299" s="363" t="s">
        <v>114</v>
      </c>
      <c r="F299" s="354">
        <f>D299/g/J299</f>
        <v>223.28608637999045</v>
      </c>
      <c r="G299" s="363" t="s">
        <v>56</v>
      </c>
      <c r="H299" s="64">
        <v>6.25</v>
      </c>
      <c r="I299" s="363" t="s">
        <v>271</v>
      </c>
      <c r="J299" s="355">
        <f>H299-L299</f>
        <v>3.3839999999999999</v>
      </c>
      <c r="K299" s="363" t="s">
        <v>272</v>
      </c>
      <c r="L299" s="64">
        <v>2.8660000000000001</v>
      </c>
      <c r="M299" s="363" t="s">
        <v>57</v>
      </c>
      <c r="N299" s="65">
        <v>290</v>
      </c>
      <c r="O299" s="363" t="s">
        <v>59</v>
      </c>
      <c r="P299" s="65">
        <v>290</v>
      </c>
      <c r="Q299" s="363" t="s">
        <v>60</v>
      </c>
      <c r="R299" s="65">
        <v>579</v>
      </c>
      <c r="S299" s="363" t="s">
        <v>61</v>
      </c>
      <c r="T299" s="65">
        <v>98</v>
      </c>
      <c r="U299" s="363" t="s">
        <v>54</v>
      </c>
      <c r="V299" s="66" t="s">
        <v>118</v>
      </c>
      <c r="W299" s="12"/>
      <c r="X299" s="12"/>
      <c r="Y299" s="12"/>
    </row>
    <row r="300" spans="1:25" x14ac:dyDescent="0.2">
      <c r="A300" s="362" t="s">
        <v>33</v>
      </c>
      <c r="B300" s="370">
        <v>0</v>
      </c>
      <c r="C300" s="371">
        <v>1.7000000000000001E-2</v>
      </c>
      <c r="D300" s="371">
        <v>5.1999999999999998E-2</v>
      </c>
      <c r="E300" s="371">
        <v>8.7999999999999995E-2</v>
      </c>
      <c r="F300" s="371">
        <v>0.108</v>
      </c>
      <c r="G300" s="371">
        <v>0.127</v>
      </c>
      <c r="H300" s="371">
        <v>0.17399999999999999</v>
      </c>
      <c r="I300" s="371">
        <v>0.25700000000000001</v>
      </c>
      <c r="J300" s="371">
        <v>0.40300000000000002</v>
      </c>
      <c r="K300" s="371">
        <v>0.76200000000000001</v>
      </c>
      <c r="L300" s="371">
        <v>0.97699999999999998</v>
      </c>
      <c r="M300" s="371">
        <v>1.341</v>
      </c>
      <c r="N300" s="371">
        <v>1.5009999999999999</v>
      </c>
      <c r="O300" s="371">
        <v>1.661</v>
      </c>
      <c r="P300" s="371">
        <v>1.96</v>
      </c>
      <c r="Q300" s="371">
        <v>2.4039999999999999</v>
      </c>
      <c r="R300" s="371">
        <v>2.641</v>
      </c>
      <c r="S300" s="371">
        <v>2.7160000000000002</v>
      </c>
      <c r="T300" s="371">
        <v>2.8210000000000002</v>
      </c>
      <c r="U300" s="371">
        <v>2.8919999999999999</v>
      </c>
      <c r="V300" s="371">
        <v>2.92</v>
      </c>
      <c r="W300" s="371">
        <v>2.97</v>
      </c>
      <c r="X300" s="371">
        <v>3</v>
      </c>
      <c r="Y300" s="381">
        <v>1000</v>
      </c>
    </row>
    <row r="301" spans="1:25" x14ac:dyDescent="0.2">
      <c r="A301" s="378" t="s">
        <v>34</v>
      </c>
      <c r="B301" s="372">
        <v>0</v>
      </c>
      <c r="C301" s="373">
        <v>329.84699999999998</v>
      </c>
      <c r="D301" s="373">
        <v>1003.68</v>
      </c>
      <c r="E301" s="373">
        <v>2346.62</v>
      </c>
      <c r="F301" s="373">
        <v>2549.2399999999998</v>
      </c>
      <c r="G301" s="373">
        <v>2605.79</v>
      </c>
      <c r="H301" s="373">
        <v>2520.9699999999998</v>
      </c>
      <c r="I301" s="373">
        <v>2516.2600000000002</v>
      </c>
      <c r="J301" s="373">
        <v>2596.37</v>
      </c>
      <c r="K301" s="373">
        <v>2808.41</v>
      </c>
      <c r="L301" s="373">
        <v>2954.49</v>
      </c>
      <c r="M301" s="373">
        <v>2959.2</v>
      </c>
      <c r="N301" s="373">
        <v>2907.36</v>
      </c>
      <c r="O301" s="373">
        <v>2869.67</v>
      </c>
      <c r="P301" s="373">
        <v>2695.32</v>
      </c>
      <c r="Q301" s="373">
        <v>2351.34</v>
      </c>
      <c r="R301" s="373">
        <v>2228.8200000000002</v>
      </c>
      <c r="S301" s="373">
        <v>2007.35</v>
      </c>
      <c r="T301" s="373">
        <v>1427.77</v>
      </c>
      <c r="U301" s="373">
        <v>504.19400000000002</v>
      </c>
      <c r="V301" s="373">
        <v>334.55900000000003</v>
      </c>
      <c r="W301" s="373">
        <v>122.515</v>
      </c>
      <c r="X301" s="373">
        <v>0</v>
      </c>
      <c r="Y301" s="382">
        <v>0</v>
      </c>
    </row>
    <row r="302" spans="1:25" ht="13.5" thickBot="1" x14ac:dyDescent="0.25">
      <c r="A302" s="379" t="s">
        <v>116</v>
      </c>
      <c r="B302" s="374">
        <f t="shared" ref="B302:X302" si="99">(C301+B301)*(C300-B300)/2</f>
        <v>2.8036995</v>
      </c>
      <c r="C302" s="375">
        <f t="shared" si="99"/>
        <v>23.336722499999997</v>
      </c>
      <c r="D302" s="375">
        <f t="shared" si="99"/>
        <v>60.305399999999992</v>
      </c>
      <c r="E302" s="375">
        <f t="shared" si="99"/>
        <v>48.958600000000004</v>
      </c>
      <c r="F302" s="375">
        <f t="shared" si="99"/>
        <v>48.972785000000002</v>
      </c>
      <c r="G302" s="375">
        <f t="shared" si="99"/>
        <v>120.47885999999997</v>
      </c>
      <c r="H302" s="375">
        <f t="shared" si="99"/>
        <v>209.04504500000002</v>
      </c>
      <c r="I302" s="375">
        <f t="shared" si="99"/>
        <v>373.22199000000006</v>
      </c>
      <c r="J302" s="375">
        <f t="shared" si="99"/>
        <v>970.15800999999988</v>
      </c>
      <c r="K302" s="375">
        <f t="shared" si="99"/>
        <v>619.51174999999989</v>
      </c>
      <c r="L302" s="375">
        <f t="shared" si="99"/>
        <v>1076.2915799999998</v>
      </c>
      <c r="M302" s="375">
        <f t="shared" si="99"/>
        <v>469.3247999999997</v>
      </c>
      <c r="N302" s="375">
        <f t="shared" si="99"/>
        <v>462.16240000000045</v>
      </c>
      <c r="O302" s="375">
        <f t="shared" si="99"/>
        <v>831.96600499999977</v>
      </c>
      <c r="P302" s="375">
        <f t="shared" si="99"/>
        <v>1120.3585199999998</v>
      </c>
      <c r="Q302" s="375">
        <f t="shared" si="99"/>
        <v>542.74896000000024</v>
      </c>
      <c r="R302" s="375">
        <f t="shared" si="99"/>
        <v>158.85637500000038</v>
      </c>
      <c r="S302" s="375">
        <f t="shared" si="99"/>
        <v>180.34379999999996</v>
      </c>
      <c r="T302" s="375">
        <f t="shared" si="99"/>
        <v>68.584721999999744</v>
      </c>
      <c r="U302" s="375">
        <f t="shared" si="99"/>
        <v>11.742542000000011</v>
      </c>
      <c r="V302" s="375">
        <f t="shared" si="99"/>
        <v>11.42685000000006</v>
      </c>
      <c r="W302" s="375">
        <f t="shared" si="99"/>
        <v>1.8377249999999881</v>
      </c>
      <c r="X302" s="375">
        <f t="shared" si="99"/>
        <v>0</v>
      </c>
      <c r="Y302" s="369"/>
    </row>
    <row r="303" spans="1:25" ht="13.5" thickBot="1" x14ac:dyDescent="0.2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3.5" thickBot="1" x14ac:dyDescent="0.25">
      <c r="A304" s="361" t="s">
        <v>551</v>
      </c>
      <c r="B304" s="359">
        <f>ROW(A304)</f>
        <v>304</v>
      </c>
      <c r="C304" s="363" t="s">
        <v>115</v>
      </c>
      <c r="D304" s="353">
        <f>SUM(B307:Y307)</f>
        <v>17734.977350500001</v>
      </c>
      <c r="E304" s="363" t="s">
        <v>114</v>
      </c>
      <c r="F304" s="354">
        <f>D304/g/J304</f>
        <v>192.73420306179892</v>
      </c>
      <c r="G304" s="363" t="s">
        <v>56</v>
      </c>
      <c r="H304" s="64">
        <v>14.747999999999999</v>
      </c>
      <c r="I304" s="363" t="s">
        <v>271</v>
      </c>
      <c r="J304" s="355">
        <f>H304-L304</f>
        <v>9.379999999999999</v>
      </c>
      <c r="K304" s="363" t="s">
        <v>272</v>
      </c>
      <c r="L304" s="64">
        <v>5.3680000000000003</v>
      </c>
      <c r="M304" s="363" t="s">
        <v>57</v>
      </c>
      <c r="N304" s="65">
        <v>500</v>
      </c>
      <c r="O304" s="363" t="s">
        <v>59</v>
      </c>
      <c r="P304" s="65">
        <v>500</v>
      </c>
      <c r="Q304" s="363" t="s">
        <v>60</v>
      </c>
      <c r="R304" s="65">
        <v>1046</v>
      </c>
      <c r="S304" s="363" t="s">
        <v>61</v>
      </c>
      <c r="T304" s="65">
        <v>98</v>
      </c>
      <c r="U304" s="363" t="s">
        <v>54</v>
      </c>
      <c r="V304" s="66" t="s">
        <v>118</v>
      </c>
      <c r="W304" s="12"/>
      <c r="X304" s="12"/>
      <c r="Y304" s="12"/>
    </row>
    <row r="305" spans="1:25" x14ac:dyDescent="0.2">
      <c r="A305" s="362" t="s">
        <v>33</v>
      </c>
      <c r="B305" s="370">
        <v>0</v>
      </c>
      <c r="C305" s="371">
        <v>3.0000000000000001E-3</v>
      </c>
      <c r="D305" s="371">
        <v>0.05</v>
      </c>
      <c r="E305" s="371">
        <v>7.8E-2</v>
      </c>
      <c r="F305" s="371">
        <v>0.121</v>
      </c>
      <c r="G305" s="371">
        <v>0.65200000000000002</v>
      </c>
      <c r="H305" s="371">
        <v>1.123</v>
      </c>
      <c r="I305" s="371">
        <v>1.655</v>
      </c>
      <c r="J305" s="371">
        <v>2.3530000000000002</v>
      </c>
      <c r="K305" s="371">
        <v>3.0350000000000001</v>
      </c>
      <c r="L305" s="371">
        <v>3.7</v>
      </c>
      <c r="M305" s="371">
        <v>3.7330000000000001</v>
      </c>
      <c r="N305" s="371">
        <v>3.887</v>
      </c>
      <c r="O305" s="371">
        <v>4.0359999999999996</v>
      </c>
      <c r="P305" s="371">
        <v>4.1970000000000001</v>
      </c>
      <c r="Q305" s="371">
        <v>4.2619999999999996</v>
      </c>
      <c r="R305" s="371">
        <v>4.3</v>
      </c>
      <c r="S305" s="371">
        <v>5</v>
      </c>
      <c r="T305" s="371">
        <v>5</v>
      </c>
      <c r="U305" s="371">
        <v>5</v>
      </c>
      <c r="V305" s="371">
        <v>5</v>
      </c>
      <c r="W305" s="371">
        <v>5</v>
      </c>
      <c r="X305" s="371">
        <v>5</v>
      </c>
      <c r="Y305" s="381">
        <v>1000</v>
      </c>
    </row>
    <row r="306" spans="1:25" x14ac:dyDescent="0.2">
      <c r="A306" s="378" t="s">
        <v>34</v>
      </c>
      <c r="B306" s="372">
        <v>0</v>
      </c>
      <c r="C306" s="373">
        <v>203.87700000000001</v>
      </c>
      <c r="D306" s="373">
        <v>2362.8789999999999</v>
      </c>
      <c r="E306" s="373">
        <v>3946.8449999999998</v>
      </c>
      <c r="F306" s="373">
        <v>4281.4120000000003</v>
      </c>
      <c r="G306" s="373">
        <v>4370.2809999999999</v>
      </c>
      <c r="H306" s="373">
        <v>4453.9229999999998</v>
      </c>
      <c r="I306" s="373">
        <v>4772.8069999999998</v>
      </c>
      <c r="J306" s="373">
        <v>4621.2060000000001</v>
      </c>
      <c r="K306" s="373">
        <v>4511.4269999999997</v>
      </c>
      <c r="L306" s="373">
        <v>4375.509</v>
      </c>
      <c r="M306" s="373">
        <v>4182.0870000000004</v>
      </c>
      <c r="N306" s="373">
        <v>2969.2820000000002</v>
      </c>
      <c r="O306" s="373">
        <v>1589.193</v>
      </c>
      <c r="P306" s="373">
        <v>533.21600000000001</v>
      </c>
      <c r="Q306" s="373">
        <v>240.47</v>
      </c>
      <c r="R306" s="373">
        <v>0</v>
      </c>
      <c r="S306" s="373">
        <v>0</v>
      </c>
      <c r="T306" s="373">
        <v>0</v>
      </c>
      <c r="U306" s="373">
        <v>0</v>
      </c>
      <c r="V306" s="373">
        <v>0</v>
      </c>
      <c r="W306" s="373">
        <v>0</v>
      </c>
      <c r="X306" s="373">
        <v>0</v>
      </c>
      <c r="Y306" s="382">
        <v>0</v>
      </c>
    </row>
    <row r="307" spans="1:25" ht="13.5" thickBot="1" x14ac:dyDescent="0.25">
      <c r="A307" s="379" t="s">
        <v>116</v>
      </c>
      <c r="B307" s="374">
        <f t="shared" ref="B307" si="100">(C306+B306)*(C305-B305)/2</f>
        <v>0.30581550000000002</v>
      </c>
      <c r="C307" s="375">
        <f t="shared" ref="C307" si="101">(D306+C306)*(D305-C305)/2</f>
        <v>60.318765999999997</v>
      </c>
      <c r="D307" s="375">
        <f t="shared" ref="D307" si="102">(E306+D306)*(E305-D305)/2</f>
        <v>88.336135999999996</v>
      </c>
      <c r="E307" s="375">
        <f t="shared" ref="E307" si="103">(F306+E306)*(F305-E305)/2</f>
        <v>176.90752549999999</v>
      </c>
      <c r="F307" s="375">
        <f t="shared" ref="F307" si="104">(G306+F306)*(G305-F305)/2</f>
        <v>2297.0244914999998</v>
      </c>
      <c r="G307" s="375">
        <f t="shared" ref="G307" si="105">(H306+G306)*(H305-G305)/2</f>
        <v>2078.100042</v>
      </c>
      <c r="H307" s="375">
        <f t="shared" ref="H307" si="106">(I306+H306)*(I305-H305)/2</f>
        <v>2454.3101799999999</v>
      </c>
      <c r="I307" s="375">
        <f t="shared" ref="I307" si="107">(J306+I306)*(J305-I305)/2</f>
        <v>3278.5105370000006</v>
      </c>
      <c r="J307" s="375">
        <f t="shared" ref="J307" si="108">(K306+J306)*(K305-J305)/2</f>
        <v>3114.2278529999999</v>
      </c>
      <c r="K307" s="375">
        <f t="shared" ref="K307" si="109">(L306+K306)*(L305-K305)/2</f>
        <v>2954.9062199999998</v>
      </c>
      <c r="L307" s="375">
        <f t="shared" ref="L307" si="110">(M306+L306)*(M305-L305)/2</f>
        <v>141.20033399999969</v>
      </c>
      <c r="M307" s="375">
        <f t="shared" ref="M307" si="111">(N306+M306)*(N305-M305)/2</f>
        <v>550.65541299999973</v>
      </c>
      <c r="N307" s="375">
        <f t="shared" ref="N307" si="112">(O306+N306)*(O305-N305)/2</f>
        <v>339.60638749999907</v>
      </c>
      <c r="O307" s="375">
        <f t="shared" ref="O307" si="113">(P306+O306)*(P305-O305)/2</f>
        <v>170.85392450000052</v>
      </c>
      <c r="P307" s="375">
        <f t="shared" ref="P307" si="114">(Q306+P306)*(Q305-P305)/2</f>
        <v>25.14479499999981</v>
      </c>
      <c r="Q307" s="375">
        <f t="shared" ref="Q307" si="115">(R306+Q306)*(R305-Q305)/2</f>
        <v>4.568930000000031</v>
      </c>
      <c r="R307" s="375">
        <f t="shared" ref="R307" si="116">(S306+R306)*(S305-R305)/2</f>
        <v>0</v>
      </c>
      <c r="S307" s="375">
        <f t="shared" ref="S307" si="117">(T306+S306)*(T305-S305)/2</f>
        <v>0</v>
      </c>
      <c r="T307" s="375">
        <f t="shared" ref="T307" si="118">(U306+T306)*(U305-T305)/2</f>
        <v>0</v>
      </c>
      <c r="U307" s="375">
        <f t="shared" ref="U307" si="119">(V306+U306)*(V305-U305)/2</f>
        <v>0</v>
      </c>
      <c r="V307" s="375">
        <f t="shared" ref="V307" si="120">(W306+V306)*(W305-V305)/2</f>
        <v>0</v>
      </c>
      <c r="W307" s="375">
        <f t="shared" ref="W307" si="121">(X306+W306)*(X305-W305)/2</f>
        <v>0</v>
      </c>
      <c r="X307" s="375">
        <f t="shared" ref="X307" si="122">(Y306+X306)*(Y305-X305)/2</f>
        <v>0</v>
      </c>
      <c r="Y307" s="369"/>
    </row>
    <row r="308" spans="1:25" ht="13.5" thickBot="1" x14ac:dyDescent="0.2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3.5" thickBot="1" x14ac:dyDescent="0.25">
      <c r="A309" s="361" t="s">
        <v>44</v>
      </c>
      <c r="B309" s="359">
        <f>ROW(A309)</f>
        <v>309</v>
      </c>
      <c r="C309" s="363" t="s">
        <v>115</v>
      </c>
      <c r="D309" s="353">
        <f>SUM(B312:Y312)</f>
        <v>1E-3</v>
      </c>
      <c r="E309" s="363" t="s">
        <v>114</v>
      </c>
      <c r="F309" s="354">
        <f>D309/g/J309</f>
        <v>1.019367991845056</v>
      </c>
      <c r="G309" s="363" t="s">
        <v>56</v>
      </c>
      <c r="H309" s="64">
        <v>1E-4</v>
      </c>
      <c r="I309" s="363" t="s">
        <v>271</v>
      </c>
      <c r="J309" s="355">
        <f>H309-L309</f>
        <v>1E-4</v>
      </c>
      <c r="K309" s="363" t="s">
        <v>272</v>
      </c>
      <c r="L309" s="64">
        <v>0</v>
      </c>
      <c r="M309" s="363" t="s">
        <v>57</v>
      </c>
      <c r="N309" s="65">
        <v>0</v>
      </c>
      <c r="O309" s="363" t="s">
        <v>59</v>
      </c>
      <c r="P309" s="65">
        <v>0</v>
      </c>
      <c r="Q309" s="363" t="s">
        <v>60</v>
      </c>
      <c r="R309" s="65">
        <v>0</v>
      </c>
      <c r="S309" s="363" t="s">
        <v>61</v>
      </c>
      <c r="T309" s="65">
        <v>0</v>
      </c>
      <c r="U309" s="363" t="s">
        <v>54</v>
      </c>
      <c r="V309" s="66" t="s">
        <v>118</v>
      </c>
      <c r="W309" s="12"/>
      <c r="X309" s="12"/>
      <c r="Y309" s="12"/>
    </row>
    <row r="310" spans="1:25" x14ac:dyDescent="0.2">
      <c r="A310" s="362" t="s">
        <v>33</v>
      </c>
      <c r="B310" s="370">
        <v>0</v>
      </c>
      <c r="C310" s="371">
        <v>0.1</v>
      </c>
      <c r="D310" s="371">
        <v>0.2</v>
      </c>
      <c r="E310" s="371">
        <v>1</v>
      </c>
      <c r="F310" s="371">
        <v>1</v>
      </c>
      <c r="G310" s="371">
        <v>1</v>
      </c>
      <c r="H310" s="371">
        <v>1</v>
      </c>
      <c r="I310" s="371">
        <v>1</v>
      </c>
      <c r="J310" s="371">
        <v>1</v>
      </c>
      <c r="K310" s="371">
        <v>1</v>
      </c>
      <c r="L310" s="371">
        <v>1</v>
      </c>
      <c r="M310" s="371">
        <v>1</v>
      </c>
      <c r="N310" s="371">
        <v>1</v>
      </c>
      <c r="O310" s="371">
        <v>1</v>
      </c>
      <c r="P310" s="371">
        <v>1</v>
      </c>
      <c r="Q310" s="371">
        <v>1</v>
      </c>
      <c r="R310" s="371">
        <v>1</v>
      </c>
      <c r="S310" s="371">
        <v>1</v>
      </c>
      <c r="T310" s="371">
        <v>1</v>
      </c>
      <c r="U310" s="371">
        <v>1</v>
      </c>
      <c r="V310" s="371">
        <v>1</v>
      </c>
      <c r="W310" s="371">
        <v>1</v>
      </c>
      <c r="X310" s="371">
        <v>1</v>
      </c>
      <c r="Y310" s="381">
        <v>1000</v>
      </c>
    </row>
    <row r="311" spans="1:25" x14ac:dyDescent="0.2">
      <c r="A311" s="378" t="s">
        <v>34</v>
      </c>
      <c r="B311" s="372">
        <v>0</v>
      </c>
      <c r="C311" s="373">
        <v>0.01</v>
      </c>
      <c r="D311" s="373">
        <v>0</v>
      </c>
      <c r="E311" s="373">
        <v>0</v>
      </c>
      <c r="F311" s="373">
        <v>0</v>
      </c>
      <c r="G311" s="373">
        <v>0</v>
      </c>
      <c r="H311" s="373">
        <v>0</v>
      </c>
      <c r="I311" s="373">
        <v>0</v>
      </c>
      <c r="J311" s="373">
        <v>0</v>
      </c>
      <c r="K311" s="373">
        <v>0</v>
      </c>
      <c r="L311" s="373">
        <v>0</v>
      </c>
      <c r="M311" s="373">
        <v>0</v>
      </c>
      <c r="N311" s="373">
        <v>0</v>
      </c>
      <c r="O311" s="373">
        <v>0</v>
      </c>
      <c r="P311" s="373">
        <v>0</v>
      </c>
      <c r="Q311" s="373">
        <v>0</v>
      </c>
      <c r="R311" s="373">
        <v>0</v>
      </c>
      <c r="S311" s="373">
        <v>0</v>
      </c>
      <c r="T311" s="373">
        <v>0</v>
      </c>
      <c r="U311" s="373">
        <v>0</v>
      </c>
      <c r="V311" s="373">
        <v>0</v>
      </c>
      <c r="W311" s="373">
        <v>0</v>
      </c>
      <c r="X311" s="373">
        <v>0</v>
      </c>
      <c r="Y311" s="382">
        <v>0</v>
      </c>
    </row>
    <row r="312" spans="1:25" ht="13.5" thickBot="1" x14ac:dyDescent="0.25">
      <c r="A312" s="379" t="s">
        <v>116</v>
      </c>
      <c r="B312" s="374">
        <f t="shared" ref="B312:G312" si="123">(C311+B311)*(C310-B310)/2</f>
        <v>5.0000000000000001E-4</v>
      </c>
      <c r="C312" s="375">
        <f t="shared" si="123"/>
        <v>5.0000000000000001E-4</v>
      </c>
      <c r="D312" s="375">
        <f t="shared" si="123"/>
        <v>0</v>
      </c>
      <c r="E312" s="375">
        <f t="shared" si="123"/>
        <v>0</v>
      </c>
      <c r="F312" s="375">
        <f t="shared" si="123"/>
        <v>0</v>
      </c>
      <c r="G312" s="375">
        <f t="shared" si="123"/>
        <v>0</v>
      </c>
      <c r="H312" s="375">
        <f t="shared" ref="H312:V312" si="124">(I311+H311)*(I310-H310)/2</f>
        <v>0</v>
      </c>
      <c r="I312" s="375">
        <f t="shared" si="124"/>
        <v>0</v>
      </c>
      <c r="J312" s="375">
        <f>(K311+J311)*(K310-J310)/2</f>
        <v>0</v>
      </c>
      <c r="K312" s="375">
        <f t="shared" si="124"/>
        <v>0</v>
      </c>
      <c r="L312" s="375">
        <f t="shared" si="124"/>
        <v>0</v>
      </c>
      <c r="M312" s="375">
        <f t="shared" si="124"/>
        <v>0</v>
      </c>
      <c r="N312" s="375">
        <f t="shared" si="124"/>
        <v>0</v>
      </c>
      <c r="O312" s="375">
        <f t="shared" si="124"/>
        <v>0</v>
      </c>
      <c r="P312" s="375">
        <f t="shared" si="124"/>
        <v>0</v>
      </c>
      <c r="Q312" s="375">
        <f t="shared" si="124"/>
        <v>0</v>
      </c>
      <c r="R312" s="375">
        <f t="shared" si="124"/>
        <v>0</v>
      </c>
      <c r="S312" s="375">
        <f>(T311+S311)*(T310-S310)/2</f>
        <v>0</v>
      </c>
      <c r="T312" s="375">
        <f t="shared" si="124"/>
        <v>0</v>
      </c>
      <c r="U312" s="375">
        <f t="shared" si="124"/>
        <v>0</v>
      </c>
      <c r="V312" s="375">
        <f t="shared" si="124"/>
        <v>0</v>
      </c>
      <c r="W312" s="375">
        <f>(X311+W311)*(X310-W310)/2</f>
        <v>0</v>
      </c>
      <c r="X312" s="375">
        <f>(Y311+X311)*(Y310-X310)/2</f>
        <v>0</v>
      </c>
      <c r="Y312" s="369"/>
    </row>
    <row r="314" spans="1:25" x14ac:dyDescent="0.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6" spans="1:25" x14ac:dyDescent="0.2">
      <c r="A316" s="397" t="str">
        <f>IF(Lang="Français","Liste des propu affichés :","Motor list (shown):")</f>
        <v>Liste des propu affichés :</v>
      </c>
      <c r="C316" s="651" t="s">
        <v>276</v>
      </c>
      <c r="D316" s="652"/>
      <c r="F316" s="651" t="s">
        <v>181</v>
      </c>
      <c r="G316" s="652"/>
      <c r="H316" s="12"/>
      <c r="I316" s="651" t="s">
        <v>397</v>
      </c>
      <c r="J316" s="652"/>
      <c r="K316" s="12"/>
      <c r="L316" s="651" t="s">
        <v>182</v>
      </c>
      <c r="M316" s="652"/>
      <c r="O316" s="651" t="s">
        <v>396</v>
      </c>
      <c r="P316" s="652"/>
      <c r="R316" s="651" t="s">
        <v>118</v>
      </c>
      <c r="S316" s="652"/>
    </row>
    <row r="317" spans="1:25" x14ac:dyDescent="0.2">
      <c r="A317" s="398" t="str">
        <f t="array" ref="A317:A346">IF(RIGHT(Type_fusee,1)=".",Liste_fusex, IF(LEFT(Type_fusee,4)="Mini",Liste_minif, IF(LEFT(Type_fusee,5)="Micro",Liste_µfu, IF(RIGHT(Type_fusee,1)=" ",Liste_H2O, IF(LEFT(Type_fusee,1)="R",Liste_RC, IF(LEFT(Type_fusee,1)=",",Liste_minifT))))))</f>
        <v>Pro54-5G WT</v>
      </c>
      <c r="C317" s="643" t="str">
        <f>A26</f>
        <v>H2O 1.5L 300g 6bar</v>
      </c>
      <c r="D317" s="644"/>
      <c r="F317" s="643" t="str">
        <f>A67</f>
        <v>µ-propu A8-3</v>
      </c>
      <c r="G317" s="644"/>
      <c r="H317" s="472"/>
      <c r="I317" s="641" t="str">
        <f>A148</f>
        <v>p29-1G 56F31</v>
      </c>
      <c r="J317" s="642"/>
      <c r="K317" s="472"/>
      <c r="L317" s="641" t="str">
        <f>A158</f>
        <v>p29-1G 57F59</v>
      </c>
      <c r="M317" s="642"/>
      <c r="O317" s="643" t="str">
        <f>A108</f>
        <v>p24-1G 24E22</v>
      </c>
      <c r="P317" s="644"/>
      <c r="R317" s="643" t="str">
        <f>A284</f>
        <v>Pro54-5G WT</v>
      </c>
      <c r="S317" s="644"/>
    </row>
    <row r="318" spans="1:25" x14ac:dyDescent="0.2">
      <c r="A318" s="398" t="str">
        <v>Barasinga (Pro54-5G C)</v>
      </c>
      <c r="C318" s="643" t="str">
        <f>A31</f>
        <v>H2O 1.5L 450g 6bar</v>
      </c>
      <c r="D318" s="644"/>
      <c r="F318" s="643" t="str">
        <f>A72</f>
        <v>µ-propu B4-4</v>
      </c>
      <c r="G318" s="644"/>
      <c r="H318" s="472"/>
      <c r="I318" s="641" t="str">
        <f>A153</f>
        <v>p29-1G 56F120</v>
      </c>
      <c r="J318" s="642"/>
      <c r="K318" s="472"/>
      <c r="L318" s="641" t="str">
        <f>A183</f>
        <v>p24-3G 74F85</v>
      </c>
      <c r="M318" s="642"/>
      <c r="O318" s="643" t="str">
        <f>A113</f>
        <v>p24-1G 25E75 (Rufina)</v>
      </c>
      <c r="P318" s="644"/>
      <c r="R318" s="643" t="str">
        <f>A279</f>
        <v>Barasinga (Pro54-5G C)</v>
      </c>
      <c r="S318" s="644"/>
    </row>
    <row r="319" spans="1:25" x14ac:dyDescent="0.2">
      <c r="A319" s="398" t="str">
        <v>Orignal (Pro75-3G C)</v>
      </c>
      <c r="C319" s="643" t="str">
        <f>A36</f>
        <v>H2O 1.5L 600g 6bar</v>
      </c>
      <c r="D319" s="644"/>
      <c r="F319" s="643" t="str">
        <f>A77</f>
        <v>µ-propu C6-3</v>
      </c>
      <c r="G319" s="644"/>
      <c r="H319" s="472"/>
      <c r="I319" s="641" t="str">
        <f>A158</f>
        <v>p29-1G 57F59</v>
      </c>
      <c r="J319" s="642"/>
      <c r="K319" s="472"/>
      <c r="L319" s="641" t="str">
        <f>A188</f>
        <v>p24-3G 75F51</v>
      </c>
      <c r="M319" s="642"/>
      <c r="O319" s="643" t="str">
        <f>A118</f>
        <v>p24-1G 26E31</v>
      </c>
      <c r="P319" s="644"/>
      <c r="R319" s="643" t="str">
        <f>A289</f>
        <v>Orignal (Pro75-3G C)</v>
      </c>
      <c r="S319" s="644"/>
    </row>
    <row r="320" spans="1:25" x14ac:dyDescent="0.2">
      <c r="A320" s="398" t="str">
        <v>Pro98-6G Green</v>
      </c>
      <c r="C320" s="643" t="str">
        <f>A41</f>
        <v>H2O 1.5L 750g 6bar</v>
      </c>
      <c r="D320" s="644"/>
      <c r="F320" s="643" t="str">
        <f>A82</f>
        <v>µ-propu C6-3 x2</v>
      </c>
      <c r="G320" s="644"/>
      <c r="H320" s="472"/>
      <c r="I320" s="641" t="str">
        <f>A183</f>
        <v>p24-3G 74F85</v>
      </c>
      <c r="J320" s="642"/>
      <c r="K320" s="472"/>
      <c r="L320" s="641" t="str">
        <f>A228</f>
        <v>p29-2G 116G126</v>
      </c>
      <c r="M320" s="642"/>
      <c r="O320" s="643" t="str">
        <f>A123</f>
        <v>p24-2G 50E51</v>
      </c>
      <c r="P320" s="644"/>
      <c r="R320" s="643" t="str">
        <f>A294</f>
        <v>Pro98-6G Green</v>
      </c>
      <c r="S320" s="644"/>
    </row>
    <row r="321" spans="1:19" x14ac:dyDescent="0.2">
      <c r="A321" s="398" t="str">
        <v xml:space="preserve"> </v>
      </c>
      <c r="C321" s="643" t="str">
        <f>A46</f>
        <v>H2O 2.0L 400g 6bar</v>
      </c>
      <c r="D321" s="644"/>
      <c r="F321" s="643" t="str">
        <f>A87</f>
        <v>µ-propu C6-3 x3</v>
      </c>
      <c r="G321" s="644"/>
      <c r="H321" s="472"/>
      <c r="I321" s="641" t="str">
        <f>A188</f>
        <v>p24-3G 75F51</v>
      </c>
      <c r="J321" s="642"/>
      <c r="K321" s="472"/>
      <c r="L321" s="641" t="str">
        <f>A198</f>
        <v>Pandora (Pro24-6G BS)</v>
      </c>
      <c r="M321" s="642"/>
      <c r="O321" s="643" t="str">
        <f>A128</f>
        <v>p24-1G 53E70</v>
      </c>
      <c r="P321" s="644"/>
      <c r="R321" s="643" t="s">
        <v>183</v>
      </c>
      <c r="S321" s="644"/>
    </row>
    <row r="322" spans="1:19" x14ac:dyDescent="0.2">
      <c r="A322" s="398" t="str">
        <v xml:space="preserve"> </v>
      </c>
      <c r="C322" s="643" t="str">
        <f>A51</f>
        <v>H2O 2.0L 600g 6bar</v>
      </c>
      <c r="D322" s="644"/>
      <c r="F322" s="643" t="s">
        <v>183</v>
      </c>
      <c r="G322" s="644"/>
      <c r="H322" s="472"/>
      <c r="I322" s="641" t="s">
        <v>183</v>
      </c>
      <c r="J322" s="642"/>
      <c r="K322" s="472"/>
      <c r="L322" s="643" t="str">
        <f>A92</f>
        <v>Klima D9-7</v>
      </c>
      <c r="M322" s="644"/>
      <c r="O322" s="643" t="str">
        <f>A133</f>
        <v>p29-1G 41F36</v>
      </c>
      <c r="P322" s="644"/>
      <c r="R322" s="643" t="s">
        <v>183</v>
      </c>
      <c r="S322" s="644"/>
    </row>
    <row r="323" spans="1:19" x14ac:dyDescent="0.2">
      <c r="A323" s="398" t="str">
        <v xml:space="preserve"> </v>
      </c>
      <c r="C323" s="643" t="str">
        <f>A56</f>
        <v>H2O 2.0L 800g 6bar</v>
      </c>
      <c r="D323" s="644"/>
      <c r="F323" s="643" t="s">
        <v>183</v>
      </c>
      <c r="G323" s="644"/>
      <c r="H323" s="472"/>
      <c r="I323" s="641" t="s">
        <v>183</v>
      </c>
      <c r="J323" s="642"/>
      <c r="K323" s="472"/>
      <c r="L323" s="643" t="str">
        <f>A97</f>
        <v>Klima D9-7 x2</v>
      </c>
      <c r="M323" s="644"/>
      <c r="O323" s="643" t="str">
        <f>A138</f>
        <v>p29-1G 51F36</v>
      </c>
      <c r="P323" s="644"/>
      <c r="R323" s="643" t="s">
        <v>183</v>
      </c>
      <c r="S323" s="644"/>
    </row>
    <row r="324" spans="1:19" x14ac:dyDescent="0.2">
      <c r="A324" s="398" t="str">
        <v xml:space="preserve"> </v>
      </c>
      <c r="C324" s="643" t="str">
        <f>A61</f>
        <v>H2O 2.0L 1000g 6bar</v>
      </c>
      <c r="D324" s="644"/>
      <c r="F324" s="643" t="s">
        <v>183</v>
      </c>
      <c r="G324" s="644"/>
      <c r="H324" s="472"/>
      <c r="I324" s="641" t="s">
        <v>183</v>
      </c>
      <c r="J324" s="642"/>
      <c r="K324" s="472"/>
      <c r="L324" s="643" t="str">
        <f>A102</f>
        <v>Klima D9-7 x3</v>
      </c>
      <c r="M324" s="644"/>
      <c r="O324" s="643" t="str">
        <f>A143</f>
        <v>p29-1G 55F29</v>
      </c>
      <c r="P324" s="644"/>
      <c r="R324" s="643" t="s">
        <v>183</v>
      </c>
      <c r="S324" s="644"/>
    </row>
    <row r="325" spans="1:19" x14ac:dyDescent="0.2">
      <c r="A325" s="398" t="str">
        <v xml:space="preserve"> </v>
      </c>
      <c r="C325" s="643" t="s">
        <v>183</v>
      </c>
      <c r="D325" s="644"/>
      <c r="F325" s="643" t="s">
        <v>183</v>
      </c>
      <c r="G325" s="644"/>
      <c r="H325" s="472"/>
      <c r="I325" s="641" t="s">
        <v>183</v>
      </c>
      <c r="J325" s="642"/>
      <c r="K325" s="472"/>
      <c r="L325" s="643" t="s">
        <v>183</v>
      </c>
      <c r="M325" s="644"/>
      <c r="O325" s="643" t="str">
        <f>A153</f>
        <v>p29-1G 56F120</v>
      </c>
      <c r="P325" s="644"/>
      <c r="R325" s="643" t="s">
        <v>183</v>
      </c>
      <c r="S325" s="644"/>
    </row>
    <row r="326" spans="1:19" x14ac:dyDescent="0.2">
      <c r="A326" s="398" t="str">
        <v xml:space="preserve"> </v>
      </c>
      <c r="C326" s="643" t="s">
        <v>183</v>
      </c>
      <c r="D326" s="644"/>
      <c r="F326" s="643" t="s">
        <v>183</v>
      </c>
      <c r="G326" s="644"/>
      <c r="H326" s="472"/>
      <c r="I326" s="641" t="s">
        <v>183</v>
      </c>
      <c r="J326" s="642"/>
      <c r="K326" s="472"/>
      <c r="L326" s="643" t="s">
        <v>183</v>
      </c>
      <c r="M326" s="644"/>
      <c r="O326" s="643" t="str">
        <f>A158</f>
        <v>p29-1G 57F59</v>
      </c>
      <c r="P326" s="644"/>
      <c r="R326" s="643" t="s">
        <v>183</v>
      </c>
      <c r="S326" s="644"/>
    </row>
    <row r="327" spans="1:19" x14ac:dyDescent="0.2">
      <c r="A327" s="398" t="str">
        <v xml:space="preserve"> </v>
      </c>
      <c r="C327" s="643" t="s">
        <v>183</v>
      </c>
      <c r="D327" s="644"/>
      <c r="F327" s="643" t="s">
        <v>183</v>
      </c>
      <c r="G327" s="644"/>
      <c r="H327" s="472"/>
      <c r="I327" s="641" t="s">
        <v>183</v>
      </c>
      <c r="J327" s="642"/>
      <c r="K327" s="472"/>
      <c r="L327" s="643" t="s">
        <v>183</v>
      </c>
      <c r="M327" s="644"/>
      <c r="O327" s="643" t="str">
        <f>A163</f>
        <v>p24-3G 60F50</v>
      </c>
      <c r="P327" s="644"/>
      <c r="R327" s="643" t="s">
        <v>183</v>
      </c>
      <c r="S327" s="644"/>
    </row>
    <row r="328" spans="1:19" x14ac:dyDescent="0.2">
      <c r="A328" s="398" t="str">
        <v xml:space="preserve"> </v>
      </c>
      <c r="C328" s="643" t="s">
        <v>183</v>
      </c>
      <c r="D328" s="644"/>
      <c r="F328" s="643" t="s">
        <v>183</v>
      </c>
      <c r="G328" s="644"/>
      <c r="H328" s="472"/>
      <c r="I328" s="641" t="s">
        <v>183</v>
      </c>
      <c r="J328" s="642"/>
      <c r="K328" s="472"/>
      <c r="L328" s="643" t="s">
        <v>183</v>
      </c>
      <c r="M328" s="644"/>
      <c r="O328" s="643" t="str">
        <f>A168</f>
        <v>p24-3G 68F79</v>
      </c>
      <c r="P328" s="644"/>
      <c r="R328" s="643" t="s">
        <v>183</v>
      </c>
      <c r="S328" s="644"/>
    </row>
    <row r="329" spans="1:19" x14ac:dyDescent="0.2">
      <c r="A329" s="398" t="str">
        <v xml:space="preserve"> </v>
      </c>
      <c r="C329" s="643" t="s">
        <v>183</v>
      </c>
      <c r="D329" s="644"/>
      <c r="F329" s="643" t="s">
        <v>183</v>
      </c>
      <c r="G329" s="644"/>
      <c r="H329" s="472"/>
      <c r="I329" s="641" t="s">
        <v>183</v>
      </c>
      <c r="J329" s="642"/>
      <c r="K329" s="472"/>
      <c r="L329" s="643" t="s">
        <v>183</v>
      </c>
      <c r="M329" s="644"/>
      <c r="O329" s="643" t="str">
        <f>A173</f>
        <v>p24-3G 68F240</v>
      </c>
      <c r="P329" s="644"/>
      <c r="R329" s="643" t="s">
        <v>183</v>
      </c>
      <c r="S329" s="644"/>
    </row>
    <row r="330" spans="1:19" x14ac:dyDescent="0.2">
      <c r="A330" s="398" t="str">
        <v xml:space="preserve"> </v>
      </c>
      <c r="C330" s="643" t="s">
        <v>183</v>
      </c>
      <c r="D330" s="644"/>
      <c r="F330" s="643" t="s">
        <v>183</v>
      </c>
      <c r="G330" s="644"/>
      <c r="H330" s="472"/>
      <c r="I330" s="641" t="s">
        <v>183</v>
      </c>
      <c r="J330" s="642"/>
      <c r="K330" s="472"/>
      <c r="L330" s="643" t="s">
        <v>183</v>
      </c>
      <c r="M330" s="644"/>
      <c r="O330" s="643" t="str">
        <f>A178</f>
        <v>p24-3G 73F30</v>
      </c>
      <c r="P330" s="644"/>
      <c r="R330" s="643" t="s">
        <v>183</v>
      </c>
      <c r="S330" s="644"/>
    </row>
    <row r="331" spans="1:19" x14ac:dyDescent="0.2">
      <c r="A331" s="398" t="str">
        <v xml:space="preserve"> </v>
      </c>
      <c r="C331" s="643" t="s">
        <v>183</v>
      </c>
      <c r="D331" s="644"/>
      <c r="F331" s="643" t="s">
        <v>183</v>
      </c>
      <c r="G331" s="644"/>
      <c r="H331" s="472"/>
      <c r="I331" s="649" t="s">
        <v>183</v>
      </c>
      <c r="J331" s="650"/>
      <c r="K331" s="472"/>
      <c r="L331" s="643" t="s">
        <v>183</v>
      </c>
      <c r="M331" s="644"/>
      <c r="O331" s="643" t="str">
        <f>A183</f>
        <v>p24-3G 74F85</v>
      </c>
      <c r="P331" s="644"/>
      <c r="R331" s="643" t="s">
        <v>183</v>
      </c>
      <c r="S331" s="644"/>
    </row>
    <row r="332" spans="1:19" x14ac:dyDescent="0.2">
      <c r="A332" s="462" t="str">
        <v xml:space="preserve"> </v>
      </c>
      <c r="C332" s="646" t="s">
        <v>183</v>
      </c>
      <c r="D332" s="647"/>
      <c r="F332" s="646" t="s">
        <v>183</v>
      </c>
      <c r="G332" s="647"/>
      <c r="H332" s="472"/>
      <c r="I332" s="646" t="s">
        <v>183</v>
      </c>
      <c r="J332" s="647"/>
      <c r="K332" s="472"/>
      <c r="L332" s="646" t="s">
        <v>183</v>
      </c>
      <c r="M332" s="647"/>
      <c r="O332" s="643" t="str">
        <f>A188</f>
        <v>p24-3G 75F51</v>
      </c>
      <c r="P332" s="644"/>
      <c r="R332" s="646" t="s">
        <v>183</v>
      </c>
      <c r="S332" s="647"/>
    </row>
    <row r="333" spans="1:19" x14ac:dyDescent="0.2">
      <c r="A333" s="398" t="str">
        <v xml:space="preserve"> </v>
      </c>
      <c r="C333" s="653" t="s">
        <v>183</v>
      </c>
      <c r="D333" s="653"/>
      <c r="F333" s="653" t="s">
        <v>183</v>
      </c>
      <c r="G333" s="653"/>
      <c r="I333" s="640" t="s">
        <v>183</v>
      </c>
      <c r="J333" s="640"/>
      <c r="L333" s="640" t="s">
        <v>183</v>
      </c>
      <c r="M333" s="640"/>
      <c r="O333" s="643" t="str">
        <f>A213</f>
        <v>p29-2G 84G88</v>
      </c>
      <c r="P333" s="644"/>
      <c r="R333" s="648" t="s">
        <v>183</v>
      </c>
      <c r="S333" s="648"/>
    </row>
    <row r="334" spans="1:19" x14ac:dyDescent="0.2">
      <c r="A334" s="398" t="str">
        <v>Isard</v>
      </c>
      <c r="C334" s="637" t="s">
        <v>183</v>
      </c>
      <c r="D334" s="637"/>
      <c r="F334" s="637" t="s">
        <v>183</v>
      </c>
      <c r="G334" s="637"/>
      <c r="I334" s="640" t="s">
        <v>183</v>
      </c>
      <c r="J334" s="640"/>
      <c r="L334" s="640" t="s">
        <v>183</v>
      </c>
      <c r="M334" s="640"/>
      <c r="O334" s="643" t="str">
        <f>A218</f>
        <v>p29-2G 93G80</v>
      </c>
      <c r="P334" s="644"/>
      <c r="R334" s="645" t="str">
        <f>A269</f>
        <v>Isard</v>
      </c>
      <c r="S334" s="645"/>
    </row>
    <row r="335" spans="1:19" x14ac:dyDescent="0.2">
      <c r="A335" s="398" t="str">
        <v>Chamois</v>
      </c>
      <c r="C335" s="637" t="s">
        <v>183</v>
      </c>
      <c r="D335" s="637"/>
      <c r="F335" s="637" t="s">
        <v>183</v>
      </c>
      <c r="G335" s="637"/>
      <c r="I335" s="640" t="s">
        <v>183</v>
      </c>
      <c r="J335" s="640"/>
      <c r="L335" s="640" t="s">
        <v>183</v>
      </c>
      <c r="M335" s="640"/>
      <c r="O335" s="643" t="str">
        <f>A223</f>
        <v>p29-2G 110G250</v>
      </c>
      <c r="P335" s="644"/>
      <c r="R335" s="645" t="str">
        <f>A274</f>
        <v>Chamois</v>
      </c>
      <c r="S335" s="645"/>
    </row>
    <row r="336" spans="1:19" x14ac:dyDescent="0.2">
      <c r="A336" s="398" t="str">
        <v>Pro54-5G WT</v>
      </c>
      <c r="C336" s="637" t="s">
        <v>183</v>
      </c>
      <c r="D336" s="637"/>
      <c r="F336" s="637" t="s">
        <v>183</v>
      </c>
      <c r="G336" s="637"/>
      <c r="I336" s="640" t="s">
        <v>183</v>
      </c>
      <c r="J336" s="640"/>
      <c r="L336" s="640" t="s">
        <v>183</v>
      </c>
      <c r="M336" s="640"/>
      <c r="O336" s="643" t="str">
        <f>A228</f>
        <v>p29-2G 116G126</v>
      </c>
      <c r="P336" s="644"/>
      <c r="R336" s="645" t="str">
        <f>A284</f>
        <v>Pro54-5G WT</v>
      </c>
      <c r="S336" s="645"/>
    </row>
    <row r="337" spans="1:19" x14ac:dyDescent="0.2">
      <c r="A337" s="398" t="str">
        <v>Pro98-6G Green</v>
      </c>
      <c r="C337" s="637" t="s">
        <v>183</v>
      </c>
      <c r="D337" s="637"/>
      <c r="F337" s="637" t="s">
        <v>183</v>
      </c>
      <c r="G337" s="637"/>
      <c r="I337" s="640" t="s">
        <v>183</v>
      </c>
      <c r="J337" s="640"/>
      <c r="L337" s="640" t="s">
        <v>183</v>
      </c>
      <c r="M337" s="640"/>
      <c r="O337" s="643" t="str">
        <f>A233</f>
        <v>p29-3G 125G131</v>
      </c>
      <c r="P337" s="644"/>
      <c r="R337" s="645" t="str">
        <f>A294</f>
        <v>Pro98-6G Green</v>
      </c>
      <c r="S337" s="645"/>
    </row>
    <row r="338" spans="1:19" x14ac:dyDescent="0.2">
      <c r="A338" s="398" t="str">
        <v>Pro98-3G WT</v>
      </c>
      <c r="C338" s="637" t="s">
        <v>183</v>
      </c>
      <c r="D338" s="637"/>
      <c r="F338" s="637" t="s">
        <v>183</v>
      </c>
      <c r="G338" s="637"/>
      <c r="I338" s="640" t="s">
        <v>183</v>
      </c>
      <c r="J338" s="640"/>
      <c r="L338" s="640" t="s">
        <v>183</v>
      </c>
      <c r="M338" s="640"/>
      <c r="O338" s="643" t="str">
        <f>A248</f>
        <v>p38-1G 128G185</v>
      </c>
      <c r="P338" s="644"/>
      <c r="R338" s="645" t="str">
        <f>A299</f>
        <v>Pro98-3G WT</v>
      </c>
      <c r="S338" s="645"/>
    </row>
    <row r="339" spans="1:19" x14ac:dyDescent="0.2">
      <c r="A339" s="398" t="str">
        <v>Aucun (2e ét. inerte)</v>
      </c>
      <c r="C339" s="637" t="s">
        <v>183</v>
      </c>
      <c r="D339" s="637"/>
      <c r="F339" s="637" t="s">
        <v>183</v>
      </c>
      <c r="G339" s="637"/>
      <c r="I339" s="640" t="s">
        <v>183</v>
      </c>
      <c r="J339" s="640"/>
      <c r="L339" s="640" t="s">
        <v>183</v>
      </c>
      <c r="M339" s="640"/>
      <c r="O339" s="643" t="str">
        <f>A243</f>
        <v>p38-1G 137G58</v>
      </c>
      <c r="P339" s="644"/>
      <c r="R339" s="645" t="str">
        <f>A309</f>
        <v>Aucun (2e ét. inerte)</v>
      </c>
      <c r="S339" s="645"/>
    </row>
    <row r="340" spans="1:19" x14ac:dyDescent="0.2">
      <c r="A340" s="398" t="str">
        <v xml:space="preserve"> </v>
      </c>
      <c r="C340" s="637" t="s">
        <v>183</v>
      </c>
      <c r="D340" s="637"/>
      <c r="F340" s="637" t="s">
        <v>183</v>
      </c>
      <c r="G340" s="637"/>
      <c r="I340" s="640" t="s">
        <v>183</v>
      </c>
      <c r="J340" s="640"/>
      <c r="L340" s="640" t="s">
        <v>183</v>
      </c>
      <c r="M340" s="640"/>
      <c r="O340" s="643" t="str">
        <f>A253</f>
        <v>p38-1G 141G78</v>
      </c>
      <c r="P340" s="644"/>
      <c r="R340" s="640" t="s">
        <v>183</v>
      </c>
      <c r="S340" s="640"/>
    </row>
    <row r="341" spans="1:19" x14ac:dyDescent="0.2">
      <c r="A341" s="398" t="str">
        <v xml:space="preserve"> </v>
      </c>
      <c r="C341" s="637" t="s">
        <v>183</v>
      </c>
      <c r="D341" s="637"/>
      <c r="F341" s="637" t="s">
        <v>183</v>
      </c>
      <c r="G341" s="637"/>
      <c r="I341" s="637" t="s">
        <v>183</v>
      </c>
      <c r="J341" s="637"/>
      <c r="L341" s="640" t="s">
        <v>183</v>
      </c>
      <c r="M341" s="640"/>
      <c r="O341" s="643" t="str">
        <f>A193</f>
        <v>p24-6G 140G145 PK</v>
      </c>
      <c r="P341" s="644"/>
      <c r="R341" s="637" t="s">
        <v>183</v>
      </c>
      <c r="S341" s="637"/>
    </row>
    <row r="342" spans="1:19" x14ac:dyDescent="0.2">
      <c r="A342" s="398" t="str">
        <v xml:space="preserve"> </v>
      </c>
      <c r="C342" s="637" t="s">
        <v>183</v>
      </c>
      <c r="D342" s="637"/>
      <c r="F342" s="637" t="s">
        <v>183</v>
      </c>
      <c r="G342" s="637"/>
      <c r="I342" s="637" t="s">
        <v>183</v>
      </c>
      <c r="J342" s="637"/>
      <c r="L342" s="640" t="s">
        <v>183</v>
      </c>
      <c r="M342" s="640"/>
      <c r="O342" s="643" t="str">
        <f>A198</f>
        <v>Pandora (Pro24-6G BS)</v>
      </c>
      <c r="P342" s="644"/>
      <c r="R342" s="637" t="s">
        <v>183</v>
      </c>
      <c r="S342" s="637"/>
    </row>
    <row r="343" spans="1:19" x14ac:dyDescent="0.2">
      <c r="A343" s="398" t="str">
        <v xml:space="preserve"> </v>
      </c>
      <c r="C343" s="637" t="s">
        <v>183</v>
      </c>
      <c r="D343" s="637"/>
      <c r="F343" s="637" t="s">
        <v>183</v>
      </c>
      <c r="G343" s="637"/>
      <c r="I343" s="637" t="s">
        <v>183</v>
      </c>
      <c r="J343" s="637"/>
      <c r="L343" s="637" t="s">
        <v>183</v>
      </c>
      <c r="M343" s="637"/>
      <c r="O343" s="641" t="str">
        <f>A203</f>
        <v>p24-6G 142G117 WT</v>
      </c>
      <c r="P343" s="642"/>
      <c r="R343" s="637" t="s">
        <v>183</v>
      </c>
      <c r="S343" s="637"/>
    </row>
    <row r="344" spans="1:19" x14ac:dyDescent="0.2">
      <c r="A344" s="398" t="str">
        <v xml:space="preserve"> </v>
      </c>
      <c r="C344" s="637" t="s">
        <v>183</v>
      </c>
      <c r="D344" s="637"/>
      <c r="F344" s="637" t="s">
        <v>183</v>
      </c>
      <c r="G344" s="637"/>
      <c r="I344" s="637" t="s">
        <v>183</v>
      </c>
      <c r="J344" s="637"/>
      <c r="L344" s="637" t="s">
        <v>183</v>
      </c>
      <c r="M344" s="637"/>
      <c r="O344" s="641" t="str">
        <f>A208</f>
        <v>p24-6G 139G107 DT</v>
      </c>
      <c r="P344" s="642"/>
      <c r="R344" s="637" t="s">
        <v>183</v>
      </c>
      <c r="S344" s="637"/>
    </row>
    <row r="345" spans="1:19" x14ac:dyDescent="0.2">
      <c r="A345" s="398" t="str">
        <v xml:space="preserve"> </v>
      </c>
      <c r="C345" s="637" t="s">
        <v>183</v>
      </c>
      <c r="D345" s="637"/>
      <c r="F345" s="637" t="s">
        <v>183</v>
      </c>
      <c r="G345" s="637"/>
      <c r="I345" s="637" t="s">
        <v>183</v>
      </c>
      <c r="J345" s="637"/>
      <c r="L345" s="637" t="s">
        <v>183</v>
      </c>
      <c r="M345" s="637"/>
      <c r="O345" s="641" t="str">
        <f>A263</f>
        <v>Cariacou</v>
      </c>
      <c r="P345" s="642"/>
      <c r="R345" s="637" t="s">
        <v>183</v>
      </c>
      <c r="S345" s="637"/>
    </row>
    <row r="346" spans="1:19" x14ac:dyDescent="0.2">
      <c r="A346" s="473" t="str">
        <v xml:space="preserve"> </v>
      </c>
      <c r="C346" s="637" t="s">
        <v>183</v>
      </c>
      <c r="D346" s="637"/>
      <c r="F346" s="637" t="s">
        <v>183</v>
      </c>
      <c r="G346" s="637"/>
      <c r="I346" s="637" t="s">
        <v>183</v>
      </c>
      <c r="J346" s="637"/>
      <c r="L346" s="637" t="s">
        <v>183</v>
      </c>
      <c r="M346" s="637"/>
      <c r="O346" s="638" t="str">
        <f>A258</f>
        <v>Wapiti</v>
      </c>
      <c r="P346" s="639"/>
      <c r="R346" s="637" t="s">
        <v>183</v>
      </c>
      <c r="S346" s="637"/>
    </row>
  </sheetData>
  <sheetProtection algorithmName="SHA-512" hashValue="TT52kldpbNfsZI03mY8g5TIIsjEeL9Q9TBJMBYh4cROlVUm3NqAv8usVb5XJtvE8tyHIClwYMgtE2emaKO5x7A==" saltValue="IfNq7E35bfDyzUo3UGtZTg==" spinCount="100000" sheet="1" objects="1" scenarios="1"/>
  <dataConsolidate/>
  <mergeCells count="186">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 ref="C345:D345"/>
    <mergeCell ref="C346:D346"/>
    <mergeCell ref="C335:D335"/>
    <mergeCell ref="C336:D336"/>
    <mergeCell ref="C337:D337"/>
    <mergeCell ref="C338:D338"/>
    <mergeCell ref="C339:D339"/>
    <mergeCell ref="C340:D340"/>
    <mergeCell ref="C334:D334"/>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S318 C317:D324 F317:G321 O322:P339 O342:P342 R334:S339 O340:O341 O317:P319 O320:P321 P341 M324 S317"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206" activePane="bottomRight" state="frozen"/>
      <selection pane="topRight" activeCell="D1" sqref="D1"/>
      <selection pane="bottomLeft" activeCell="A8" sqref="A8"/>
      <selection pane="bottomRight" activeCell="L436" sqref="L436"/>
    </sheetView>
  </sheetViews>
  <sheetFormatPr baseColWidth="10" defaultColWidth="11.5703125" defaultRowHeight="12.75" x14ac:dyDescent="0.2"/>
  <cols>
    <col min="1" max="1" width="4.5703125" style="7" bestFit="1" customWidth="1"/>
    <col min="2" max="2" width="6" style="7" bestFit="1" customWidth="1"/>
    <col min="3" max="3" width="1.42578125" style="8" customWidth="1"/>
    <col min="4" max="4" width="7.140625" style="7" customWidth="1"/>
    <col min="5" max="6" width="7.42578125" style="7" customWidth="1"/>
    <col min="7" max="7" width="7.140625" style="7" customWidth="1"/>
    <col min="8" max="8" width="7.42578125" style="7" customWidth="1"/>
    <col min="9" max="9" width="7.140625" style="7" customWidth="1"/>
    <col min="10" max="12" width="7.5703125" style="7" bestFit="1" customWidth="1"/>
    <col min="13" max="13" width="5.85546875" style="7" customWidth="1"/>
    <col min="14" max="14" width="6.42578125" style="7" customWidth="1"/>
    <col min="15" max="15" width="1.42578125" style="8" customWidth="1"/>
    <col min="16" max="16" width="4" style="7" customWidth="1"/>
    <col min="17" max="17" width="8.5703125" style="7" customWidth="1"/>
    <col min="18" max="18" width="5.85546875" style="7" customWidth="1"/>
    <col min="19" max="19" width="5.140625" style="7" customWidth="1"/>
    <col min="20" max="20" width="6" style="7" customWidth="1"/>
    <col min="21" max="21" width="8.85546875" style="7" customWidth="1"/>
    <col min="22" max="22" width="6.85546875" style="7" customWidth="1"/>
    <col min="23" max="23" width="7.140625" style="7" customWidth="1"/>
    <col min="24" max="24" width="1.42578125" style="8" customWidth="1"/>
    <col min="25" max="25" width="15.85546875" style="7" customWidth="1"/>
    <col min="26" max="26" width="5.85546875" style="7" customWidth="1"/>
    <col min="27" max="27" width="7.85546875" style="7" customWidth="1"/>
    <col min="28" max="28" width="1.5703125" style="7" customWidth="1"/>
    <col min="29" max="29" width="7.140625" style="7" bestFit="1" customWidth="1"/>
    <col min="30" max="31" width="6.85546875" style="7" bestFit="1" customWidth="1"/>
    <col min="32" max="32" width="1.85546875" style="7" customWidth="1"/>
    <col min="33" max="238" width="11.42578125" style="7" customWidth="1"/>
    <col min="239" max="239" width="11" style="7" customWidth="1"/>
  </cols>
  <sheetData>
    <row r="1" spans="1:248" ht="13.5" thickBot="1" x14ac:dyDescent="0.25">
      <c r="D1" s="654" t="s">
        <v>265</v>
      </c>
      <c r="E1" s="655"/>
      <c r="F1" s="655"/>
      <c r="G1" s="655"/>
      <c r="H1" s="655"/>
      <c r="I1" s="655"/>
      <c r="J1" s="655"/>
      <c r="K1" s="655"/>
      <c r="L1" s="655"/>
      <c r="M1" s="655"/>
      <c r="N1" s="656"/>
      <c r="P1" s="654" t="s">
        <v>17</v>
      </c>
      <c r="Q1" s="655"/>
      <c r="R1" s="655"/>
      <c r="S1" s="655"/>
      <c r="T1" s="655"/>
      <c r="U1" s="655"/>
      <c r="V1" s="655"/>
      <c r="W1" s="656"/>
      <c r="Y1" s="9"/>
      <c r="Z1" s="9"/>
      <c r="AA1" s="9"/>
      <c r="AC1" s="661" t="s">
        <v>185</v>
      </c>
      <c r="AD1" s="661"/>
      <c r="AE1" s="661"/>
      <c r="AG1" s="657" t="s">
        <v>18</v>
      </c>
      <c r="AH1" s="657"/>
    </row>
    <row r="2" spans="1:248" s="12" customFormat="1" x14ac:dyDescent="0.2">
      <c r="A2" s="330" t="s">
        <v>19</v>
      </c>
      <c r="B2" s="331" t="s">
        <v>2</v>
      </c>
      <c r="C2" s="10"/>
      <c r="D2" s="334" t="s">
        <v>192</v>
      </c>
      <c r="E2" s="335" t="s">
        <v>193</v>
      </c>
      <c r="F2" s="331" t="s">
        <v>194</v>
      </c>
      <c r="G2" s="334" t="s">
        <v>189</v>
      </c>
      <c r="H2" s="335" t="s">
        <v>190</v>
      </c>
      <c r="I2" s="331" t="s">
        <v>191</v>
      </c>
      <c r="J2" s="334" t="s">
        <v>186</v>
      </c>
      <c r="K2" s="335" t="s">
        <v>187</v>
      </c>
      <c r="L2" s="331" t="s">
        <v>188</v>
      </c>
      <c r="M2" s="330" t="s">
        <v>20</v>
      </c>
      <c r="N2" s="331" t="s">
        <v>21</v>
      </c>
      <c r="O2" s="10"/>
      <c r="P2" s="330" t="s">
        <v>26</v>
      </c>
      <c r="Q2" s="331" t="s">
        <v>25</v>
      </c>
      <c r="R2" s="330" t="s">
        <v>22</v>
      </c>
      <c r="S2" s="335" t="s">
        <v>38</v>
      </c>
      <c r="T2" s="331" t="s">
        <v>27</v>
      </c>
      <c r="U2" s="338" t="s">
        <v>28</v>
      </c>
      <c r="V2" s="330" t="s">
        <v>24</v>
      </c>
      <c r="W2" s="331" t="s">
        <v>23</v>
      </c>
      <c r="X2" s="11"/>
      <c r="Y2" s="658" t="s">
        <v>184</v>
      </c>
      <c r="Z2" s="659"/>
      <c r="AA2" s="660"/>
      <c r="AC2" s="330" t="s">
        <v>11</v>
      </c>
      <c r="AD2" s="335" t="s">
        <v>3</v>
      </c>
      <c r="AE2" s="331" t="s">
        <v>29</v>
      </c>
      <c r="AG2" s="345" t="s">
        <v>31</v>
      </c>
      <c r="AH2" s="346" t="s">
        <v>30</v>
      </c>
      <c r="IF2"/>
      <c r="IG2"/>
      <c r="IH2"/>
      <c r="II2"/>
      <c r="IJ2"/>
      <c r="IK2"/>
      <c r="IL2"/>
      <c r="IM2"/>
      <c r="IN2"/>
    </row>
    <row r="3" spans="1:248" s="12" customFormat="1" x14ac:dyDescent="0.2">
      <c r="A3" s="332" t="s">
        <v>153</v>
      </c>
      <c r="B3" s="333" t="s">
        <v>153</v>
      </c>
      <c r="C3" s="10"/>
      <c r="D3" s="336" t="s">
        <v>7</v>
      </c>
      <c r="E3" s="337" t="s">
        <v>7</v>
      </c>
      <c r="F3" s="333" t="s">
        <v>7</v>
      </c>
      <c r="G3" s="336" t="s">
        <v>154</v>
      </c>
      <c r="H3" s="337" t="s">
        <v>154</v>
      </c>
      <c r="I3" s="333" t="s">
        <v>154</v>
      </c>
      <c r="J3" s="336" t="s">
        <v>38</v>
      </c>
      <c r="K3" s="337" t="s">
        <v>38</v>
      </c>
      <c r="L3" s="333" t="s">
        <v>38</v>
      </c>
      <c r="M3" s="332" t="s">
        <v>243</v>
      </c>
      <c r="N3" s="333" t="s">
        <v>155</v>
      </c>
      <c r="O3" s="10"/>
      <c r="P3" s="336" t="s">
        <v>14</v>
      </c>
      <c r="Q3" s="339" t="s">
        <v>226</v>
      </c>
      <c r="R3" s="336" t="s">
        <v>244</v>
      </c>
      <c r="S3" s="340" t="s">
        <v>227</v>
      </c>
      <c r="T3" s="339" t="s">
        <v>226</v>
      </c>
      <c r="U3" s="341" t="s">
        <v>226</v>
      </c>
      <c r="V3" s="336" t="s">
        <v>8</v>
      </c>
      <c r="W3" s="339" t="s">
        <v>226</v>
      </c>
      <c r="X3" s="11"/>
      <c r="Y3" s="342"/>
      <c r="Z3" s="343"/>
      <c r="AA3" s="344"/>
      <c r="AC3" s="336" t="s">
        <v>153</v>
      </c>
      <c r="AD3" s="340" t="s">
        <v>38</v>
      </c>
      <c r="AE3" s="339" t="s">
        <v>38</v>
      </c>
      <c r="AG3" s="342" t="s">
        <v>7</v>
      </c>
      <c r="AH3" s="339" t="s">
        <v>7</v>
      </c>
      <c r="IF3"/>
      <c r="IG3"/>
      <c r="IH3"/>
      <c r="II3"/>
      <c r="IJ3"/>
      <c r="IK3"/>
      <c r="IL3"/>
      <c r="IM3"/>
      <c r="IN3"/>
    </row>
    <row r="4" spans="1:248" x14ac:dyDescent="0.2">
      <c r="A4" s="292" t="s">
        <v>14</v>
      </c>
      <c r="B4" s="349">
        <f>T_ini</f>
        <v>0</v>
      </c>
      <c r="D4" s="292" t="s">
        <v>14</v>
      </c>
      <c r="E4" s="293" t="s">
        <v>14</v>
      </c>
      <c r="F4" s="294" t="s">
        <v>14</v>
      </c>
      <c r="G4" s="292">
        <f>vit_xz*COS(Beta)</f>
        <v>0</v>
      </c>
      <c r="H4" s="293">
        <f>vit_xz*SIN(Beta)</f>
        <v>0</v>
      </c>
      <c r="I4" s="349">
        <f>V_ini</f>
        <v>0</v>
      </c>
      <c r="J4" s="350">
        <f>X_ini</f>
        <v>0</v>
      </c>
      <c r="K4" s="351">
        <f>Z_ini</f>
        <v>0</v>
      </c>
      <c r="L4" s="327">
        <f t="shared" ref="L4:L67" si="0">SQRT(pos_x^2+pos_z^2)</f>
        <v>0</v>
      </c>
      <c r="M4" s="292">
        <f>RADIANS(N4)</f>
        <v>1.3962634015954636</v>
      </c>
      <c r="N4" s="349">
        <f>Beta_rampe</f>
        <v>80</v>
      </c>
      <c r="P4" s="292" t="s">
        <v>14</v>
      </c>
      <c r="Q4" s="294" t="s">
        <v>14</v>
      </c>
      <c r="R4" s="292" t="s">
        <v>14</v>
      </c>
      <c r="S4" s="351">
        <f ca="1">m_tot</f>
        <v>8.9589999999999996</v>
      </c>
      <c r="T4" s="327">
        <f t="shared" ref="T4:T67" ca="1" si="1">m*g</f>
        <v>87.887789999999995</v>
      </c>
      <c r="U4" s="328">
        <f t="shared" ref="U4:U67" ca="1" si="2">IF(pos_xz&lt;L_rampe,Poids*COS(Beta),0)</f>
        <v>15.26155457267387</v>
      </c>
      <c r="V4" s="329">
        <f t="shared" ref="V4:V67" si="3">Rho_moyen*(20000-Alt_rampe-pos_z)/(20000+Alt_rampe+pos_z)</f>
        <v>1.2250000000000001</v>
      </c>
      <c r="W4" s="327">
        <f t="shared" ref="W4:W67" si="4">1/2*Rho*Sref*Cx*vit_xz^2</f>
        <v>0</v>
      </c>
      <c r="Y4" s="295" t="s">
        <v>14</v>
      </c>
      <c r="Z4" s="296" t="s">
        <v>14</v>
      </c>
      <c r="AA4" s="297" t="s">
        <v>14</v>
      </c>
      <c r="AC4" s="320">
        <f>IF(ABS(t-ROUND(t,0))&lt;0.001,t,-1)</f>
        <v>0</v>
      </c>
      <c r="AD4" s="321">
        <f>IF(ABS(t-ROUND(t,0))&lt;0.001,pos_x,-1)</f>
        <v>0</v>
      </c>
      <c r="AE4" s="322">
        <f t="shared" ref="AE4:AE67" si="5">IF(t&lt;T_para, pos_z, NA())</f>
        <v>0</v>
      </c>
      <c r="AG4" s="292" t="s">
        <v>14</v>
      </c>
      <c r="AH4" s="294" t="s">
        <v>14</v>
      </c>
    </row>
    <row r="5" spans="1:248" x14ac:dyDescent="0.2">
      <c r="A5" s="347">
        <f t="shared" ref="A5:A68" ca="1" si="6">IF(B4+0.01&lt;=T_ini+ROUNDUP(Temps_fin_propu,0), 0.01, IF(K4&gt;0, 0.1, 0.0001))</f>
        <v>0.01</v>
      </c>
      <c r="B5" s="304">
        <f t="shared" ref="B5:B68" ca="1" si="7">B4+pas</f>
        <v>0.01</v>
      </c>
      <c r="D5" s="306">
        <f t="shared" ref="D5:D68" ca="1" si="8">IF(AND(L4&lt;L_rampe,Poussee&lt;Poids*SIN(M4)),0,(-W4+Poussee)/m*COS(M4)-U4/m*SIN(M4))</f>
        <v>3.0933365292084067</v>
      </c>
      <c r="E5" s="307">
        <f t="shared" ref="E5:E68" ca="1" si="9">IF(AND(L4&lt;L_rampe,Poussee&lt;Poids*SIN(M4)),0,(-W4+Poussee)/m*SIN(M4)+U4/m*COS(M4)-Poids/m)</f>
        <v>17.544507827060706</v>
      </c>
      <c r="F5" s="304">
        <f t="shared" ref="F5:F68" ca="1" si="10">SQRT(acc_x^2+acc_z^2)</f>
        <v>17.815119583565231</v>
      </c>
      <c r="G5" s="306">
        <f t="shared" ref="G5:G68" ca="1" si="11">G4+acc_x*pas</f>
        <v>3.093336529208407E-2</v>
      </c>
      <c r="H5" s="307">
        <f t="shared" ref="H5:H68" ca="1" si="12">H4+acc_z*pas</f>
        <v>0.17544507827060707</v>
      </c>
      <c r="I5" s="304">
        <f t="shared" ref="I5:I68" ca="1" si="13">SQRT(vit_x^2+vit_z^2)</f>
        <v>0.17815119583565234</v>
      </c>
      <c r="J5" s="306">
        <f t="shared" ref="J5:J68" ca="1" si="14">J4+0.5*(vit_x+G4)*pas*(K4&gt;=0)</f>
        <v>1.5466682646042036E-4</v>
      </c>
      <c r="K5" s="307">
        <f t="shared" ref="K5:K68" ca="1" si="15">K4+0.5*(vit_z+H4)*pas</f>
        <v>8.772253913530354E-4</v>
      </c>
      <c r="L5" s="304">
        <f t="shared" ca="1" si="0"/>
        <v>8.9075597917826171E-4</v>
      </c>
      <c r="M5" s="306">
        <f t="shared" ref="M5:M68" ca="1" si="16">IF(AND(L4&gt;L_rampe,G5&gt;0),ATAN2(G5,H5),$M$4)</f>
        <v>1.3962634015954636</v>
      </c>
      <c r="N5" s="304">
        <f t="shared" ref="N5:N68" ca="1" si="17">DEGREES(Beta)</f>
        <v>80</v>
      </c>
      <c r="P5" s="310">
        <f t="shared" ref="P5:P68" ca="1" si="18">MATCH(t-pas/2-T_ini,CdP_t)</f>
        <v>1</v>
      </c>
      <c r="Q5" s="304">
        <f t="shared" ref="Q5:Q68" ca="1" si="19">(INDEX(CdP,2,i_P+1)-INDEX(CdP,2,i_P+0))/(INDEX(CdP,1,i_P+1)-INDEX(CdP,1,i_P+0))*(t-pas/2-T_ini-INDEX(CdP,1,i_P+0))+INDEX(CdP,2,i_P+0)</f>
        <v>246.125</v>
      </c>
      <c r="R5" s="306">
        <f t="shared" ref="R5:R68" ca="1" si="20">Poussee/(g*ISP)</f>
        <v>0.12095363881938478</v>
      </c>
      <c r="S5" s="307">
        <f t="shared" ref="S5:S68" ca="1" si="21">S4-Débit*pas</f>
        <v>8.957790463611806</v>
      </c>
      <c r="T5" s="304">
        <f t="shared" ca="1" si="1"/>
        <v>87.875924448031824</v>
      </c>
      <c r="U5" s="311">
        <f t="shared" ca="1" si="2"/>
        <v>15.259494141197584</v>
      </c>
      <c r="V5" s="306">
        <f t="shared" ca="1" si="3"/>
        <v>1.2249998925398946</v>
      </c>
      <c r="W5" s="304">
        <f t="shared" ca="1" si="4"/>
        <v>1.2842428811847727E-4</v>
      </c>
      <c r="Y5" s="314" t="str">
        <f t="shared" ref="Y5:Y68" ca="1" si="22">IF(AND(pos_z&lt;=0,K4&gt;0),"Impact balistique","") &amp; IF(AND(H6&lt;0,vit_z&gt;=0),"Apogée","") &amp; IF(AND(Poussee=0,Q4&gt;0),"Fin de propulsion","") &amp; IF(AND(L6&gt;L_rampe,pos_xz&lt;=L_rampe),"Sortie de rampe","")</f>
        <v/>
      </c>
      <c r="Z5" s="315" t="str">
        <f t="shared" ref="Z5:Z68" ca="1" si="23">IF(ABS(t-T_para)&lt;pas/2,"Para","")</f>
        <v/>
      </c>
      <c r="AA5" s="316" t="str">
        <f t="shared" ref="AA5:AA68" ca="1" si="24">IF(ABS(t-T_satellite)&lt;pas/2,"Satellite","")</f>
        <v/>
      </c>
      <c r="AC5" s="310" t="e">
        <f t="shared" ref="AC5:AC68" ca="1" si="25">IF(ABS(t-ROUND(t,0))&lt;0.001,t,NA())</f>
        <v>#N/A</v>
      </c>
      <c r="AD5" s="323" t="e">
        <f t="shared" ref="AD5:AD68" ca="1" si="26">IF(ABS(t-ROUND(t,0))&lt;0.001,pos_x,NA())</f>
        <v>#N/A</v>
      </c>
      <c r="AE5" s="324">
        <f t="shared" ca="1" si="5"/>
        <v>8.772253913530354E-4</v>
      </c>
      <c r="AG5" s="306">
        <f t="shared" ref="AG5:AG68" ca="1" si="27">IF(AND(L4&lt;L_rampe,Poussee&lt;Poids*SIN(M4)),0,(-W4+Poussee)/m-Poids*SIN(M4)/m)</f>
        <v>17.815119582080342</v>
      </c>
      <c r="AH5" s="304">
        <f t="shared" ref="AH5:AH68" ca="1" si="28">IF(AND(L4&lt;L_rampe,Poussee&lt;Poids*SIN(M4)), g*SIN(M4), (-W4+Poussee)/m)</f>
        <v>27.476083639130103</v>
      </c>
    </row>
    <row r="6" spans="1:248" x14ac:dyDescent="0.2">
      <c r="A6" s="347">
        <f t="shared" ca="1" si="6"/>
        <v>0.01</v>
      </c>
      <c r="B6" s="304">
        <f t="shared" ca="1" si="7"/>
        <v>0.02</v>
      </c>
      <c r="D6" s="306">
        <f t="shared" ca="1" si="8"/>
        <v>16.375521919535739</v>
      </c>
      <c r="E6" s="307">
        <f t="shared" ca="1" si="9"/>
        <v>92.875212027502627</v>
      </c>
      <c r="F6" s="304">
        <f t="shared" ca="1" si="10"/>
        <v>94.307808411025874</v>
      </c>
      <c r="G6" s="306">
        <f t="shared" ca="1" si="11"/>
        <v>0.19468858448744147</v>
      </c>
      <c r="H6" s="307">
        <f t="shared" ca="1" si="12"/>
        <v>1.1041971985456334</v>
      </c>
      <c r="I6" s="304">
        <f t="shared" ca="1" si="13"/>
        <v>1.1212292799448953</v>
      </c>
      <c r="J6" s="306">
        <f t="shared" ca="1" si="14"/>
        <v>1.2827765753580481E-3</v>
      </c>
      <c r="K6" s="307">
        <f t="shared" ca="1" si="15"/>
        <v>7.2754367754342382E-3</v>
      </c>
      <c r="L6" s="304">
        <f t="shared" ca="1" si="0"/>
        <v>7.3876583580745172E-3</v>
      </c>
      <c r="M6" s="306">
        <f t="shared" ca="1" si="16"/>
        <v>1.3962634015954636</v>
      </c>
      <c r="N6" s="304">
        <f t="shared" ca="1" si="17"/>
        <v>80</v>
      </c>
      <c r="P6" s="310">
        <f t="shared" ca="1" si="18"/>
        <v>2</v>
      </c>
      <c r="Q6" s="304">
        <f t="shared" ca="1" si="19"/>
        <v>930.85500000000002</v>
      </c>
      <c r="R6" s="306">
        <f t="shared" ca="1" si="20"/>
        <v>0.45745169919032375</v>
      </c>
      <c r="S6" s="307">
        <f t="shared" ca="1" si="21"/>
        <v>8.9532159466199026</v>
      </c>
      <c r="T6" s="304">
        <f t="shared" ca="1" si="1"/>
        <v>87.831048436341248</v>
      </c>
      <c r="U6" s="311">
        <f t="shared" ca="1" si="2"/>
        <v>15.251701503546556</v>
      </c>
      <c r="V6" s="306">
        <f t="shared" ca="1" si="3"/>
        <v>1.2249991087593193</v>
      </c>
      <c r="W6" s="304">
        <f t="shared" ca="1" si="4"/>
        <v>5.086959339662217E-3</v>
      </c>
      <c r="Y6" s="314" t="str">
        <f t="shared" ca="1" si="22"/>
        <v/>
      </c>
      <c r="Z6" s="315" t="str">
        <f t="shared" ca="1" si="23"/>
        <v/>
      </c>
      <c r="AA6" s="316" t="str">
        <f t="shared" ca="1" si="24"/>
        <v/>
      </c>
      <c r="AC6" s="310" t="e">
        <f t="shared" ca="1" si="25"/>
        <v>#N/A</v>
      </c>
      <c r="AD6" s="323" t="e">
        <f t="shared" ca="1" si="26"/>
        <v>#N/A</v>
      </c>
      <c r="AE6" s="324">
        <f t="shared" ca="1" si="5"/>
        <v>7.2754367754342382E-3</v>
      </c>
      <c r="AG6" s="306">
        <f t="shared" ca="1" si="27"/>
        <v>94.307808407009531</v>
      </c>
      <c r="AH6" s="304">
        <f t="shared" ca="1" si="28"/>
        <v>103.96877246405928</v>
      </c>
    </row>
    <row r="7" spans="1:248" x14ac:dyDescent="0.2">
      <c r="A7" s="347">
        <f t="shared" ca="1" si="6"/>
        <v>0.01</v>
      </c>
      <c r="B7" s="304">
        <f t="shared" ca="1" si="7"/>
        <v>0.03</v>
      </c>
      <c r="D7" s="306">
        <f t="shared" ca="1" si="8"/>
        <v>24.469770256326655</v>
      </c>
      <c r="E7" s="307">
        <f t="shared" ca="1" si="9"/>
        <v>138.7822227801968</v>
      </c>
      <c r="F7" s="304">
        <f t="shared" ca="1" si="10"/>
        <v>140.92293999278326</v>
      </c>
      <c r="G7" s="306">
        <f t="shared" ca="1" si="11"/>
        <v>0.43938628705070804</v>
      </c>
      <c r="H7" s="307">
        <f t="shared" ca="1" si="12"/>
        <v>2.4920194263476017</v>
      </c>
      <c r="I7" s="304">
        <f t="shared" ca="1" si="13"/>
        <v>2.5304586798724924</v>
      </c>
      <c r="J7" s="306">
        <f t="shared" ca="1" si="14"/>
        <v>4.4531509330487957E-3</v>
      </c>
      <c r="K7" s="307">
        <f t="shared" ca="1" si="15"/>
        <v>2.5256519899900413E-2</v>
      </c>
      <c r="L7" s="304">
        <f t="shared" ca="1" si="0"/>
        <v>2.5646098157157921E-2</v>
      </c>
      <c r="M7" s="306">
        <f t="shared" ca="1" si="16"/>
        <v>1.3962634015954636</v>
      </c>
      <c r="N7" s="304">
        <f t="shared" ca="1" si="17"/>
        <v>80</v>
      </c>
      <c r="P7" s="310">
        <f t="shared" ca="1" si="18"/>
        <v>3</v>
      </c>
      <c r="Q7" s="304">
        <f t="shared" ca="1" si="19"/>
        <v>1347.2183333333335</v>
      </c>
      <c r="R7" s="306">
        <f t="shared" ca="1" si="20"/>
        <v>0.66206585962764264</v>
      </c>
      <c r="S7" s="307">
        <f t="shared" ca="1" si="21"/>
        <v>8.9465952880236266</v>
      </c>
      <c r="T7" s="304">
        <f t="shared" ca="1" si="1"/>
        <v>87.766099775511776</v>
      </c>
      <c r="U7" s="311">
        <f t="shared" ca="1" si="2"/>
        <v>15.240423286951611</v>
      </c>
      <c r="V7" s="306">
        <f t="shared" ca="1" si="3"/>
        <v>1.2249969060802193</v>
      </c>
      <c r="W7" s="304">
        <f t="shared" ca="1" si="4"/>
        <v>2.5909982794347964E-2</v>
      </c>
      <c r="Y7" s="314" t="str">
        <f t="shared" ca="1" si="22"/>
        <v/>
      </c>
      <c r="Z7" s="315" t="str">
        <f t="shared" ca="1" si="23"/>
        <v/>
      </c>
      <c r="AA7" s="316" t="str">
        <f t="shared" ca="1" si="24"/>
        <v/>
      </c>
      <c r="AC7" s="310" t="e">
        <f t="shared" ca="1" si="25"/>
        <v>#N/A</v>
      </c>
      <c r="AD7" s="323" t="e">
        <f t="shared" ca="1" si="26"/>
        <v>#N/A</v>
      </c>
      <c r="AE7" s="324">
        <f t="shared" ca="1" si="5"/>
        <v>2.5256519899900413E-2</v>
      </c>
      <c r="AG7" s="306">
        <f t="shared" ca="1" si="27"/>
        <v>140.92293998714487</v>
      </c>
      <c r="AH7" s="304">
        <f t="shared" ca="1" si="28"/>
        <v>150.58390404419464</v>
      </c>
    </row>
    <row r="8" spans="1:248" x14ac:dyDescent="0.2">
      <c r="A8" s="347">
        <f t="shared" ca="1" si="6"/>
        <v>0.01</v>
      </c>
      <c r="B8" s="304">
        <f t="shared" ca="1" si="7"/>
        <v>0.04</v>
      </c>
      <c r="D8" s="306">
        <f t="shared" ca="1" si="8"/>
        <v>23.624117170184665</v>
      </c>
      <c r="E8" s="307">
        <f t="shared" ca="1" si="9"/>
        <v>133.98605113193679</v>
      </c>
      <c r="F8" s="304">
        <f t="shared" ca="1" si="10"/>
        <v>136.05278685128283</v>
      </c>
      <c r="G8" s="306">
        <f t="shared" ca="1" si="11"/>
        <v>0.6756274587525547</v>
      </c>
      <c r="H8" s="307">
        <f t="shared" ca="1" si="12"/>
        <v>3.8318799376669697</v>
      </c>
      <c r="I8" s="304">
        <f t="shared" ca="1" si="13"/>
        <v>3.8909865483852619</v>
      </c>
      <c r="J8" s="306">
        <f t="shared" ca="1" si="14"/>
        <v>1.0028219662065109E-2</v>
      </c>
      <c r="K8" s="307">
        <f t="shared" ca="1" si="15"/>
        <v>5.6876016719973263E-2</v>
      </c>
      <c r="L8" s="304">
        <f t="shared" ca="1" si="0"/>
        <v>5.7753324298444562E-2</v>
      </c>
      <c r="M8" s="306">
        <f t="shared" ca="1" si="16"/>
        <v>1.3962634015954636</v>
      </c>
      <c r="N8" s="304">
        <f t="shared" ca="1" si="17"/>
        <v>80</v>
      </c>
      <c r="P8" s="310">
        <f t="shared" ca="1" si="18"/>
        <v>3</v>
      </c>
      <c r="Q8" s="304">
        <f t="shared" ca="1" si="19"/>
        <v>1302.7349999999999</v>
      </c>
      <c r="R8" s="306">
        <f t="shared" ca="1" si="20"/>
        <v>0.64020533739917207</v>
      </c>
      <c r="S8" s="307">
        <f t="shared" ca="1" si="21"/>
        <v>8.9401932346496356</v>
      </c>
      <c r="T8" s="304">
        <f t="shared" ca="1" si="1"/>
        <v>87.703295631912923</v>
      </c>
      <c r="U8" s="311">
        <f t="shared" ca="1" si="2"/>
        <v>15.229517461865738</v>
      </c>
      <c r="V8" s="306">
        <f t="shared" ca="1" si="3"/>
        <v>1.2249930327077656</v>
      </c>
      <c r="W8" s="304">
        <f t="shared" ca="1" si="4"/>
        <v>6.126137074085361E-2</v>
      </c>
      <c r="Y8" s="314" t="str">
        <f t="shared" ca="1" si="22"/>
        <v/>
      </c>
      <c r="Z8" s="315" t="str">
        <f t="shared" ca="1" si="23"/>
        <v/>
      </c>
      <c r="AA8" s="316" t="str">
        <f t="shared" ca="1" si="24"/>
        <v/>
      </c>
      <c r="AC8" s="310" t="e">
        <f t="shared" ca="1" si="25"/>
        <v>#N/A</v>
      </c>
      <c r="AD8" s="323" t="e">
        <f t="shared" ca="1" si="26"/>
        <v>#N/A</v>
      </c>
      <c r="AE8" s="324">
        <f t="shared" ca="1" si="5"/>
        <v>5.6876016719973263E-2</v>
      </c>
      <c r="AG8" s="306">
        <f t="shared" ca="1" si="27"/>
        <v>136.0527868458141</v>
      </c>
      <c r="AH8" s="304">
        <f t="shared" ca="1" si="28"/>
        <v>145.71375090286386</v>
      </c>
    </row>
    <row r="9" spans="1:248" x14ac:dyDescent="0.2">
      <c r="A9" s="347">
        <f t="shared" ca="1" si="6"/>
        <v>0.01</v>
      </c>
      <c r="B9" s="304">
        <f t="shared" ca="1" si="7"/>
        <v>0.05</v>
      </c>
      <c r="D9" s="306">
        <f t="shared" ca="1" si="8"/>
        <v>22.776371307999025</v>
      </c>
      <c r="E9" s="307">
        <f t="shared" ca="1" si="9"/>
        <v>129.17801025846489</v>
      </c>
      <c r="F9" s="304">
        <f t="shared" ca="1" si="10"/>
        <v>131.17058139802501</v>
      </c>
      <c r="G9" s="306">
        <f t="shared" ca="1" si="11"/>
        <v>0.90339117183254491</v>
      </c>
      <c r="H9" s="307">
        <f t="shared" ca="1" si="12"/>
        <v>5.1236600402516181</v>
      </c>
      <c r="I9" s="304">
        <f t="shared" ca="1" si="13"/>
        <v>5.2026923623654886</v>
      </c>
      <c r="J9" s="306">
        <f t="shared" ca="1" si="14"/>
        <v>1.7923312814990607E-2</v>
      </c>
      <c r="K9" s="307">
        <f t="shared" ca="1" si="15"/>
        <v>0.10165371660956621</v>
      </c>
      <c r="L9" s="304">
        <f t="shared" ca="1" si="0"/>
        <v>0.103221718852197</v>
      </c>
      <c r="M9" s="306">
        <f t="shared" ca="1" si="16"/>
        <v>1.3962634015954636</v>
      </c>
      <c r="N9" s="304">
        <f t="shared" ca="1" si="17"/>
        <v>80</v>
      </c>
      <c r="P9" s="310">
        <f t="shared" ca="1" si="18"/>
        <v>3</v>
      </c>
      <c r="Q9" s="304">
        <f t="shared" ca="1" si="19"/>
        <v>1258.2516666666666</v>
      </c>
      <c r="R9" s="306">
        <f t="shared" ca="1" si="20"/>
        <v>0.61834481517070161</v>
      </c>
      <c r="S9" s="307">
        <f t="shared" ca="1" si="21"/>
        <v>8.9340097864979278</v>
      </c>
      <c r="T9" s="304">
        <f t="shared" ca="1" si="1"/>
        <v>87.642636005544674</v>
      </c>
      <c r="U9" s="311">
        <f t="shared" ca="1" si="2"/>
        <v>15.218984028288935</v>
      </c>
      <c r="V9" s="306">
        <f t="shared" ca="1" si="3"/>
        <v>1.2249875474830074</v>
      </c>
      <c r="W9" s="304">
        <f t="shared" ca="1" si="4"/>
        <v>0.10952710277720482</v>
      </c>
      <c r="Y9" s="314" t="str">
        <f t="shared" ca="1" si="22"/>
        <v/>
      </c>
      <c r="Z9" s="315" t="str">
        <f t="shared" ca="1" si="23"/>
        <v/>
      </c>
      <c r="AA9" s="316" t="str">
        <f t="shared" ca="1" si="24"/>
        <v/>
      </c>
      <c r="AC9" s="310" t="e">
        <f t="shared" ca="1" si="25"/>
        <v>#N/A</v>
      </c>
      <c r="AD9" s="323" t="e">
        <f t="shared" ca="1" si="26"/>
        <v>#N/A</v>
      </c>
      <c r="AE9" s="324">
        <f t="shared" ca="1" si="5"/>
        <v>0.10165371660956621</v>
      </c>
      <c r="AG9" s="306">
        <f t="shared" ca="1" si="27"/>
        <v>131.17058139272615</v>
      </c>
      <c r="AH9" s="304">
        <f t="shared" ca="1" si="28"/>
        <v>140.83154544977592</v>
      </c>
    </row>
    <row r="10" spans="1:248" x14ac:dyDescent="0.2">
      <c r="A10" s="347">
        <f t="shared" ca="1" si="6"/>
        <v>0.01</v>
      </c>
      <c r="B10" s="304">
        <f t="shared" ca="1" si="7"/>
        <v>6.0000000000000005E-2</v>
      </c>
      <c r="D10" s="306">
        <f t="shared" ca="1" si="8"/>
        <v>22.444073728000976</v>
      </c>
      <c r="E10" s="307">
        <f t="shared" ca="1" si="9"/>
        <v>127.29336503596377</v>
      </c>
      <c r="F10" s="304">
        <f t="shared" ca="1" si="10"/>
        <v>129.25686530195242</v>
      </c>
      <c r="G10" s="306">
        <f t="shared" ca="1" si="11"/>
        <v>1.1278319091125546</v>
      </c>
      <c r="H10" s="307">
        <f t="shared" ca="1" si="12"/>
        <v>6.3965936906112564</v>
      </c>
      <c r="I10" s="304">
        <f t="shared" ca="1" si="13"/>
        <v>6.4952610153850019</v>
      </c>
      <c r="J10" s="306">
        <f t="shared" ca="1" si="14"/>
        <v>2.8079428219716103E-2</v>
      </c>
      <c r="K10" s="307">
        <f t="shared" ca="1" si="15"/>
        <v>0.15925498526388057</v>
      </c>
      <c r="L10" s="304">
        <f t="shared" ca="1" si="0"/>
        <v>0.16171148574094857</v>
      </c>
      <c r="M10" s="306">
        <f t="shared" ca="1" si="16"/>
        <v>1.3962634015954636</v>
      </c>
      <c r="N10" s="304">
        <f t="shared" ca="1" si="17"/>
        <v>80</v>
      </c>
      <c r="P10" s="310">
        <f t="shared" ca="1" si="18"/>
        <v>4</v>
      </c>
      <c r="Q10" s="304">
        <f t="shared" ca="1" si="19"/>
        <v>1240.356</v>
      </c>
      <c r="R10" s="306">
        <f t="shared" ca="1" si="20"/>
        <v>0.60955031643050006</v>
      </c>
      <c r="S10" s="307">
        <f t="shared" ca="1" si="21"/>
        <v>8.9279142833336227</v>
      </c>
      <c r="T10" s="304">
        <f t="shared" ca="1" si="1"/>
        <v>87.582839119502836</v>
      </c>
      <c r="U10" s="311">
        <f t="shared" ca="1" si="2"/>
        <v>15.208600407997611</v>
      </c>
      <c r="V10" s="306">
        <f t="shared" ca="1" si="3"/>
        <v>1.2249804914196472</v>
      </c>
      <c r="W10" s="304">
        <f t="shared" ca="1" si="4"/>
        <v>0.17070884391546301</v>
      </c>
      <c r="Y10" s="314" t="str">
        <f t="shared" ca="1" si="22"/>
        <v/>
      </c>
      <c r="Z10" s="315" t="str">
        <f t="shared" ca="1" si="23"/>
        <v/>
      </c>
      <c r="AA10" s="316" t="str">
        <f t="shared" ca="1" si="24"/>
        <v/>
      </c>
      <c r="AC10" s="310" t="e">
        <f t="shared" ca="1" si="25"/>
        <v>#N/A</v>
      </c>
      <c r="AD10" s="323" t="e">
        <f t="shared" ca="1" si="26"/>
        <v>#N/A</v>
      </c>
      <c r="AE10" s="324">
        <f t="shared" ca="1" si="5"/>
        <v>0.15925498526388057</v>
      </c>
      <c r="AG10" s="306">
        <f t="shared" ca="1" si="27"/>
        <v>129.25686529671987</v>
      </c>
      <c r="AH10" s="304">
        <f t="shared" ca="1" si="28"/>
        <v>138.91782935376963</v>
      </c>
    </row>
    <row r="11" spans="1:248" x14ac:dyDescent="0.2">
      <c r="A11" s="347">
        <f t="shared" ca="1" si="6"/>
        <v>0.01</v>
      </c>
      <c r="B11" s="304">
        <f t="shared" ca="1" si="7"/>
        <v>7.0000000000000007E-2</v>
      </c>
      <c r="D11" s="306">
        <f t="shared" ca="1" si="8"/>
        <v>22.628646659085881</v>
      </c>
      <c r="E11" s="307">
        <f t="shared" ca="1" si="9"/>
        <v>128.3401817203376</v>
      </c>
      <c r="F11" s="304">
        <f t="shared" ca="1" si="10"/>
        <v>130.31982924187338</v>
      </c>
      <c r="G11" s="306">
        <f t="shared" ca="1" si="11"/>
        <v>1.3541183757034134</v>
      </c>
      <c r="H11" s="307">
        <f t="shared" ca="1" si="12"/>
        <v>7.6799955078146329</v>
      </c>
      <c r="I11" s="304">
        <f t="shared" ca="1" si="13"/>
        <v>7.7984593078037276</v>
      </c>
      <c r="J11" s="306">
        <f t="shared" ca="1" si="14"/>
        <v>4.0489179643795947E-2</v>
      </c>
      <c r="K11" s="307">
        <f t="shared" ca="1" si="15"/>
        <v>0.22963793125601001</v>
      </c>
      <c r="L11" s="304">
        <f t="shared" ca="1" si="0"/>
        <v>0.2331800873568915</v>
      </c>
      <c r="M11" s="306">
        <f t="shared" ca="1" si="16"/>
        <v>1.3962634015954636</v>
      </c>
      <c r="N11" s="304">
        <f t="shared" ca="1" si="17"/>
        <v>80</v>
      </c>
      <c r="P11" s="310">
        <f t="shared" ca="1" si="18"/>
        <v>4</v>
      </c>
      <c r="Q11" s="304">
        <f t="shared" ca="1" si="19"/>
        <v>1249.048</v>
      </c>
      <c r="R11" s="306">
        <f t="shared" ca="1" si="20"/>
        <v>0.61382184117856753</v>
      </c>
      <c r="S11" s="307">
        <f t="shared" ca="1" si="21"/>
        <v>8.9217760649218363</v>
      </c>
      <c r="T11" s="304">
        <f t="shared" ca="1" si="1"/>
        <v>87.522623196883217</v>
      </c>
      <c r="U11" s="311">
        <f t="shared" ca="1" si="2"/>
        <v>15.198144022768181</v>
      </c>
      <c r="V11" s="306">
        <f t="shared" ca="1" si="3"/>
        <v>1.2249718696764105</v>
      </c>
      <c r="W11" s="304">
        <f t="shared" ca="1" si="4"/>
        <v>0.24608059545298058</v>
      </c>
      <c r="Y11" s="314" t="str">
        <f t="shared" ca="1" si="22"/>
        <v/>
      </c>
      <c r="Z11" s="315" t="str">
        <f t="shared" ca="1" si="23"/>
        <v/>
      </c>
      <c r="AA11" s="316" t="str">
        <f t="shared" ca="1" si="24"/>
        <v/>
      </c>
      <c r="AC11" s="310" t="e">
        <f t="shared" ca="1" si="25"/>
        <v>#N/A</v>
      </c>
      <c r="AD11" s="323" t="e">
        <f t="shared" ca="1" si="26"/>
        <v>#N/A</v>
      </c>
      <c r="AE11" s="324">
        <f t="shared" ca="1" si="5"/>
        <v>0.22963793125601001</v>
      </c>
      <c r="AG11" s="306">
        <f t="shared" ca="1" si="27"/>
        <v>130.31982923660325</v>
      </c>
      <c r="AH11" s="304">
        <f t="shared" ca="1" si="28"/>
        <v>139.98079329365302</v>
      </c>
    </row>
    <row r="12" spans="1:248" x14ac:dyDescent="0.2">
      <c r="A12" s="347">
        <f t="shared" ca="1" si="6"/>
        <v>0.01</v>
      </c>
      <c r="B12" s="304">
        <f t="shared" ca="1" si="7"/>
        <v>0.08</v>
      </c>
      <c r="D12" s="306">
        <f t="shared" ca="1" si="8"/>
        <v>22.813314699949121</v>
      </c>
      <c r="E12" s="307">
        <f t="shared" ca="1" si="9"/>
        <v>129.38753790266978</v>
      </c>
      <c r="F12" s="304">
        <f t="shared" ca="1" si="10"/>
        <v>131.3833409992063</v>
      </c>
      <c r="G12" s="306">
        <f t="shared" ca="1" si="11"/>
        <v>1.5822515227029046</v>
      </c>
      <c r="H12" s="307">
        <f t="shared" ca="1" si="12"/>
        <v>8.9738708868413308</v>
      </c>
      <c r="I12" s="304">
        <f t="shared" ca="1" si="13"/>
        <v>9.1122927177957838</v>
      </c>
      <c r="J12" s="306">
        <f t="shared" ca="1" si="14"/>
        <v>5.517102913582754E-2</v>
      </c>
      <c r="K12" s="307">
        <f t="shared" ca="1" si="15"/>
        <v>0.31290726322928986</v>
      </c>
      <c r="L12" s="304">
        <f t="shared" ca="1" si="0"/>
        <v>0.31773384748488853</v>
      </c>
      <c r="M12" s="306">
        <f t="shared" ca="1" si="16"/>
        <v>1.3962634015954636</v>
      </c>
      <c r="N12" s="304">
        <f t="shared" ca="1" si="17"/>
        <v>80</v>
      </c>
      <c r="P12" s="310">
        <f t="shared" ca="1" si="18"/>
        <v>4</v>
      </c>
      <c r="Q12" s="304">
        <f t="shared" ca="1" si="19"/>
        <v>1257.74</v>
      </c>
      <c r="R12" s="306">
        <f t="shared" ca="1" si="20"/>
        <v>0.61809336592663489</v>
      </c>
      <c r="S12" s="307">
        <f t="shared" ca="1" si="21"/>
        <v>8.9155951312625703</v>
      </c>
      <c r="T12" s="304">
        <f t="shared" ca="1" si="1"/>
        <v>87.461988237685816</v>
      </c>
      <c r="U12" s="311">
        <f t="shared" ca="1" si="2"/>
        <v>15.187614872600644</v>
      </c>
      <c r="V12" s="306">
        <f t="shared" ca="1" si="3"/>
        <v>1.2249616694599497</v>
      </c>
      <c r="W12" s="304">
        <f t="shared" ca="1" si="4"/>
        <v>0.33597847659601576</v>
      </c>
      <c r="Y12" s="314" t="str">
        <f t="shared" ca="1" si="22"/>
        <v/>
      </c>
      <c r="Z12" s="315" t="str">
        <f t="shared" ca="1" si="23"/>
        <v/>
      </c>
      <c r="AA12" s="316" t="str">
        <f t="shared" ca="1" si="24"/>
        <v/>
      </c>
      <c r="AC12" s="310" t="e">
        <f t="shared" ca="1" si="25"/>
        <v>#N/A</v>
      </c>
      <c r="AD12" s="323" t="e">
        <f t="shared" ca="1" si="26"/>
        <v>#N/A</v>
      </c>
      <c r="AE12" s="324">
        <f t="shared" ca="1" si="5"/>
        <v>0.31290726322928986</v>
      </c>
      <c r="AG12" s="306">
        <f t="shared" ca="1" si="27"/>
        <v>131.38334099389849</v>
      </c>
      <c r="AH12" s="304">
        <f t="shared" ca="1" si="28"/>
        <v>141.04430505094825</v>
      </c>
    </row>
    <row r="13" spans="1:248" x14ac:dyDescent="0.2">
      <c r="A13" s="347">
        <f t="shared" ca="1" si="6"/>
        <v>0.01</v>
      </c>
      <c r="B13" s="304">
        <f t="shared" ca="1" si="7"/>
        <v>0.09</v>
      </c>
      <c r="D13" s="306">
        <f t="shared" ca="1" si="8"/>
        <v>22.998074153532748</v>
      </c>
      <c r="E13" s="307">
        <f t="shared" ca="1" si="9"/>
        <v>130.43541261686178</v>
      </c>
      <c r="F13" s="304">
        <f t="shared" ca="1" si="10"/>
        <v>132.44737928438741</v>
      </c>
      <c r="G13" s="306">
        <f t="shared" ca="1" si="11"/>
        <v>1.812232264238232</v>
      </c>
      <c r="H13" s="307">
        <f t="shared" ca="1" si="12"/>
        <v>10.278225013009948</v>
      </c>
      <c r="I13" s="304">
        <f t="shared" ca="1" si="13"/>
        <v>10.436766510639652</v>
      </c>
      <c r="J13" s="306">
        <f t="shared" ca="1" si="14"/>
        <v>7.2143448070533217E-2</v>
      </c>
      <c r="K13" s="307">
        <f t="shared" ca="1" si="15"/>
        <v>0.40916774272854622</v>
      </c>
      <c r="L13" s="304">
        <f t="shared" ca="1" si="0"/>
        <v>0.41547914362706523</v>
      </c>
      <c r="M13" s="306">
        <f t="shared" ca="1" si="16"/>
        <v>1.3962634015954636</v>
      </c>
      <c r="N13" s="304">
        <f t="shared" ca="1" si="17"/>
        <v>80</v>
      </c>
      <c r="P13" s="310">
        <f t="shared" ca="1" si="18"/>
        <v>4</v>
      </c>
      <c r="Q13" s="304">
        <f t="shared" ca="1" si="19"/>
        <v>1266.432</v>
      </c>
      <c r="R13" s="306">
        <f t="shared" ca="1" si="20"/>
        <v>0.62236489067470235</v>
      </c>
      <c r="S13" s="307">
        <f t="shared" ca="1" si="21"/>
        <v>8.909371482355823</v>
      </c>
      <c r="T13" s="304">
        <f t="shared" ca="1" si="1"/>
        <v>87.400934241910633</v>
      </c>
      <c r="U13" s="311">
        <f t="shared" ca="1" si="2"/>
        <v>15.177012957495</v>
      </c>
      <c r="V13" s="306">
        <f t="shared" ca="1" si="3"/>
        <v>1.2249498779769317</v>
      </c>
      <c r="W13" s="304">
        <f t="shared" ca="1" si="4"/>
        <v>0.44074144039890767</v>
      </c>
      <c r="Y13" s="314" t="str">
        <f t="shared" ca="1" si="22"/>
        <v/>
      </c>
      <c r="Z13" s="315" t="str">
        <f t="shared" ca="1" si="23"/>
        <v/>
      </c>
      <c r="AA13" s="316" t="str">
        <f t="shared" ca="1" si="24"/>
        <v/>
      </c>
      <c r="AC13" s="310" t="e">
        <f t="shared" ca="1" si="25"/>
        <v>#N/A</v>
      </c>
      <c r="AD13" s="323" t="e">
        <f t="shared" ca="1" si="26"/>
        <v>#N/A</v>
      </c>
      <c r="AE13" s="324">
        <f t="shared" ca="1" si="5"/>
        <v>0.40916774272854622</v>
      </c>
      <c r="AG13" s="306">
        <f t="shared" ca="1" si="27"/>
        <v>132.44737927904177</v>
      </c>
      <c r="AH13" s="304">
        <f t="shared" ca="1" si="28"/>
        <v>142.10834333609154</v>
      </c>
    </row>
    <row r="14" spans="1:248" x14ac:dyDescent="0.2">
      <c r="A14" s="347">
        <f t="shared" ca="1" si="6"/>
        <v>0.01</v>
      </c>
      <c r="B14" s="304">
        <f t="shared" ca="1" si="7"/>
        <v>9.9999999999999992E-2</v>
      </c>
      <c r="D14" s="306">
        <f t="shared" ca="1" si="8"/>
        <v>23.182921259836128</v>
      </c>
      <c r="E14" s="307">
        <f t="shared" ca="1" si="9"/>
        <v>131.48378453985501</v>
      </c>
      <c r="F14" s="304">
        <f t="shared" ca="1" si="10"/>
        <v>133.51192244538603</v>
      </c>
      <c r="G14" s="306">
        <f t="shared" ca="1" si="11"/>
        <v>2.0440614768365934</v>
      </c>
      <c r="H14" s="307">
        <f t="shared" ca="1" si="12"/>
        <v>11.593062858408498</v>
      </c>
      <c r="I14" s="304">
        <f t="shared" ca="1" si="13"/>
        <v>11.771885735093507</v>
      </c>
      <c r="J14" s="306">
        <f t="shared" ca="1" si="14"/>
        <v>9.1424916775907347E-2</v>
      </c>
      <c r="K14" s="307">
        <f t="shared" ca="1" si="15"/>
        <v>0.51852418208563844</v>
      </c>
      <c r="L14" s="304">
        <f t="shared" ca="1" si="0"/>
        <v>0.52652240485573065</v>
      </c>
      <c r="M14" s="306">
        <f t="shared" ca="1" si="16"/>
        <v>1.3962634015954636</v>
      </c>
      <c r="N14" s="304">
        <f t="shared" ca="1" si="17"/>
        <v>80</v>
      </c>
      <c r="P14" s="310">
        <f t="shared" ca="1" si="18"/>
        <v>4</v>
      </c>
      <c r="Q14" s="304">
        <f t="shared" ca="1" si="19"/>
        <v>1275.124</v>
      </c>
      <c r="R14" s="306">
        <f t="shared" ca="1" si="20"/>
        <v>0.62663641542276971</v>
      </c>
      <c r="S14" s="307">
        <f t="shared" ca="1" si="21"/>
        <v>8.9031051182015961</v>
      </c>
      <c r="T14" s="304">
        <f t="shared" ca="1" si="1"/>
        <v>87.339461209557669</v>
      </c>
      <c r="U14" s="311">
        <f t="shared" ca="1" si="2"/>
        <v>15.166338277451247</v>
      </c>
      <c r="V14" s="306">
        <f t="shared" ca="1" si="3"/>
        <v>1.224936482434464</v>
      </c>
      <c r="W14" s="304">
        <f t="shared" ca="1" si="4"/>
        <v>0.5607112605808644</v>
      </c>
      <c r="Y14" s="314" t="str">
        <f t="shared" ca="1" si="22"/>
        <v/>
      </c>
      <c r="Z14" s="315" t="str">
        <f t="shared" ca="1" si="23"/>
        <v/>
      </c>
      <c r="AA14" s="316" t="str">
        <f t="shared" ca="1" si="24"/>
        <v/>
      </c>
      <c r="AC14" s="310" t="e">
        <f t="shared" ca="1" si="25"/>
        <v>#N/A</v>
      </c>
      <c r="AD14" s="323" t="e">
        <f t="shared" ca="1" si="26"/>
        <v>#N/A</v>
      </c>
      <c r="AE14" s="324">
        <f t="shared" ca="1" si="5"/>
        <v>0.51852418208563844</v>
      </c>
      <c r="AG14" s="306">
        <f t="shared" ca="1" si="27"/>
        <v>133.51192244000239</v>
      </c>
      <c r="AH14" s="304">
        <f t="shared" ca="1" si="28"/>
        <v>143.17288649705216</v>
      </c>
    </row>
    <row r="15" spans="1:248" x14ac:dyDescent="0.2">
      <c r="A15" s="347">
        <f t="shared" ca="1" si="6"/>
        <v>0.01</v>
      </c>
      <c r="B15" s="304">
        <f t="shared" ca="1" si="7"/>
        <v>0.10999999999999999</v>
      </c>
      <c r="D15" s="306">
        <f t="shared" ca="1" si="8"/>
        <v>23.314142122785185</v>
      </c>
      <c r="E15" s="307">
        <f t="shared" ca="1" si="9"/>
        <v>132.22801211826521</v>
      </c>
      <c r="F15" s="304">
        <f t="shared" ca="1" si="10"/>
        <v>134.26762979836025</v>
      </c>
      <c r="G15" s="306">
        <f t="shared" ca="1" si="11"/>
        <v>2.2772028980644454</v>
      </c>
      <c r="H15" s="307">
        <f t="shared" ca="1" si="12"/>
        <v>12.91534297959115</v>
      </c>
      <c r="I15" s="304">
        <f t="shared" ca="1" si="13"/>
        <v>13.114562033077107</v>
      </c>
      <c r="J15" s="306">
        <f t="shared" ca="1" si="14"/>
        <v>0.11303123865041255</v>
      </c>
      <c r="K15" s="307">
        <f t="shared" ca="1" si="15"/>
        <v>0.64106621127563668</v>
      </c>
      <c r="L15" s="304">
        <f t="shared" ca="1" si="0"/>
        <v>0.65095464369658329</v>
      </c>
      <c r="M15" s="306">
        <f t="shared" ca="1" si="16"/>
        <v>1.3962634015954636</v>
      </c>
      <c r="N15" s="304">
        <f t="shared" ca="1" si="17"/>
        <v>80</v>
      </c>
      <c r="P15" s="310">
        <f t="shared" ca="1" si="18"/>
        <v>5</v>
      </c>
      <c r="Q15" s="304">
        <f t="shared" ca="1" si="19"/>
        <v>1281.066</v>
      </c>
      <c r="R15" s="306">
        <f t="shared" ca="1" si="20"/>
        <v>0.62955650286559262</v>
      </c>
      <c r="S15" s="307">
        <f t="shared" ca="1" si="21"/>
        <v>8.8968095531729396</v>
      </c>
      <c r="T15" s="304">
        <f t="shared" ca="1" si="1"/>
        <v>87.277701716626538</v>
      </c>
      <c r="U15" s="311">
        <f t="shared" ca="1" si="2"/>
        <v>15.155613854050122</v>
      </c>
      <c r="V15" s="306">
        <f t="shared" ca="1" si="3"/>
        <v>1.2249214719062043</v>
      </c>
      <c r="W15" s="304">
        <f t="shared" ca="1" si="4"/>
        <v>0.69590420959486909</v>
      </c>
      <c r="Y15" s="314" t="str">
        <f t="shared" ca="1" si="22"/>
        <v/>
      </c>
      <c r="Z15" s="315" t="str">
        <f t="shared" ca="1" si="23"/>
        <v/>
      </c>
      <c r="AA15" s="316" t="str">
        <f t="shared" ca="1" si="24"/>
        <v/>
      </c>
      <c r="AC15" s="310" t="e">
        <f t="shared" ca="1" si="25"/>
        <v>#N/A</v>
      </c>
      <c r="AD15" s="323" t="e">
        <f t="shared" ca="1" si="26"/>
        <v>#N/A</v>
      </c>
      <c r="AE15" s="324">
        <f t="shared" ca="1" si="5"/>
        <v>0.64106621127563668</v>
      </c>
      <c r="AG15" s="306">
        <f t="shared" ca="1" si="27"/>
        <v>134.26762979294924</v>
      </c>
      <c r="AH15" s="304">
        <f t="shared" ca="1" si="28"/>
        <v>143.928593849999</v>
      </c>
    </row>
    <row r="16" spans="1:248" x14ac:dyDescent="0.2">
      <c r="A16" s="347">
        <f t="shared" ca="1" si="6"/>
        <v>0.01</v>
      </c>
      <c r="B16" s="304">
        <f t="shared" ca="1" si="7"/>
        <v>0.11999999999999998</v>
      </c>
      <c r="D16" s="306">
        <f t="shared" ca="1" si="8"/>
        <v>23.391585687923907</v>
      </c>
      <c r="E16" s="307">
        <f t="shared" ca="1" si="9"/>
        <v>132.66723863802909</v>
      </c>
      <c r="F16" s="304">
        <f t="shared" ca="1" si="10"/>
        <v>134.71363141432735</v>
      </c>
      <c r="G16" s="306">
        <f t="shared" ca="1" si="11"/>
        <v>2.5111187549436846</v>
      </c>
      <c r="H16" s="307">
        <f t="shared" ca="1" si="12"/>
        <v>14.242015365971442</v>
      </c>
      <c r="I16" s="304">
        <f t="shared" ca="1" si="13"/>
        <v>14.461698347220377</v>
      </c>
      <c r="J16" s="306">
        <f t="shared" ca="1" si="14"/>
        <v>0.13697284691545319</v>
      </c>
      <c r="K16" s="307">
        <f t="shared" ca="1" si="15"/>
        <v>0.77685300300344962</v>
      </c>
      <c r="L16" s="304">
        <f t="shared" ca="1" si="0"/>
        <v>0.78883594559807046</v>
      </c>
      <c r="M16" s="306">
        <f t="shared" ca="1" si="16"/>
        <v>1.3962634015954636</v>
      </c>
      <c r="N16" s="304">
        <f t="shared" ca="1" si="17"/>
        <v>80</v>
      </c>
      <c r="P16" s="310">
        <f t="shared" ca="1" si="18"/>
        <v>5</v>
      </c>
      <c r="Q16" s="304">
        <f t="shared" ca="1" si="19"/>
        <v>1284.258</v>
      </c>
      <c r="R16" s="306">
        <f t="shared" ca="1" si="20"/>
        <v>0.63112515300317107</v>
      </c>
      <c r="S16" s="307">
        <f t="shared" ca="1" si="21"/>
        <v>8.8904983016429071</v>
      </c>
      <c r="T16" s="304">
        <f t="shared" ca="1" si="1"/>
        <v>87.215788339116926</v>
      </c>
      <c r="U16" s="311">
        <f t="shared" ca="1" si="2"/>
        <v>15.144862708872374</v>
      </c>
      <c r="V16" s="306">
        <f t="shared" ca="1" si="3"/>
        <v>1.2249048392034296</v>
      </c>
      <c r="W16" s="304">
        <f t="shared" ca="1" si="4"/>
        <v>0.84620303756743087</v>
      </c>
      <c r="Y16" s="314" t="str">
        <f t="shared" ca="1" si="22"/>
        <v/>
      </c>
      <c r="Z16" s="315" t="str">
        <f t="shared" ca="1" si="23"/>
        <v/>
      </c>
      <c r="AA16" s="316" t="str">
        <f t="shared" ca="1" si="24"/>
        <v/>
      </c>
      <c r="AC16" s="310" t="e">
        <f t="shared" ca="1" si="25"/>
        <v>#N/A</v>
      </c>
      <c r="AD16" s="323" t="e">
        <f t="shared" ca="1" si="26"/>
        <v>#N/A</v>
      </c>
      <c r="AE16" s="324">
        <f t="shared" ca="1" si="5"/>
        <v>0.77685300300344962</v>
      </c>
      <c r="AG16" s="306">
        <f t="shared" ca="1" si="27"/>
        <v>134.71363140889966</v>
      </c>
      <c r="AH16" s="304">
        <f t="shared" ca="1" si="28"/>
        <v>144.37459546594943</v>
      </c>
    </row>
    <row r="17" spans="1:34" x14ac:dyDescent="0.2">
      <c r="A17" s="347">
        <f t="shared" ca="1" si="6"/>
        <v>0.01</v>
      </c>
      <c r="B17" s="304">
        <f t="shared" ca="1" si="7"/>
        <v>0.12999999999999998</v>
      </c>
      <c r="D17" s="306">
        <f t="shared" ca="1" si="8"/>
        <v>23.468888428005158</v>
      </c>
      <c r="E17" s="307">
        <f t="shared" ca="1" si="9"/>
        <v>133.10566654313385</v>
      </c>
      <c r="F17" s="304">
        <f t="shared" ca="1" si="10"/>
        <v>135.15882209437197</v>
      </c>
      <c r="G17" s="306">
        <f t="shared" ca="1" si="11"/>
        <v>2.7458076392237363</v>
      </c>
      <c r="H17" s="307">
        <f t="shared" ca="1" si="12"/>
        <v>15.573072031402781</v>
      </c>
      <c r="I17" s="304">
        <f t="shared" ca="1" si="13"/>
        <v>15.813286568164093</v>
      </c>
      <c r="J17" s="306">
        <f t="shared" ca="1" si="14"/>
        <v>0.1632574788862903</v>
      </c>
      <c r="K17" s="307">
        <f t="shared" ca="1" si="15"/>
        <v>0.92592843999032071</v>
      </c>
      <c r="L17" s="304">
        <f t="shared" ca="1" si="0"/>
        <v>0.9402108701749925</v>
      </c>
      <c r="M17" s="306">
        <f t="shared" ca="1" si="16"/>
        <v>1.3962634015954636</v>
      </c>
      <c r="N17" s="304">
        <f t="shared" ca="1" si="17"/>
        <v>80</v>
      </c>
      <c r="P17" s="310">
        <f t="shared" ca="1" si="18"/>
        <v>5</v>
      </c>
      <c r="Q17" s="304">
        <f t="shared" ca="1" si="19"/>
        <v>1287.45</v>
      </c>
      <c r="R17" s="306">
        <f t="shared" ca="1" si="20"/>
        <v>0.63269380314074941</v>
      </c>
      <c r="S17" s="307">
        <f t="shared" ca="1" si="21"/>
        <v>8.8841713636115003</v>
      </c>
      <c r="T17" s="304">
        <f t="shared" ca="1" si="1"/>
        <v>87.15372107702882</v>
      </c>
      <c r="U17" s="311">
        <f t="shared" ca="1" si="2"/>
        <v>15.134084841917998</v>
      </c>
      <c r="V17" s="306">
        <f t="shared" ca="1" si="3"/>
        <v>1.2248865790170873</v>
      </c>
      <c r="W17" s="304">
        <f t="shared" ca="1" si="4"/>
        <v>1.0117513472024662</v>
      </c>
      <c r="Y17" s="314" t="str">
        <f t="shared" ca="1" si="22"/>
        <v/>
      </c>
      <c r="Z17" s="315" t="str">
        <f t="shared" ca="1" si="23"/>
        <v/>
      </c>
      <c r="AA17" s="316" t="str">
        <f t="shared" ca="1" si="24"/>
        <v/>
      </c>
      <c r="AC17" s="310" t="e">
        <f t="shared" ca="1" si="25"/>
        <v>#N/A</v>
      </c>
      <c r="AD17" s="323" t="e">
        <f t="shared" ca="1" si="26"/>
        <v>#N/A</v>
      </c>
      <c r="AE17" s="324">
        <f t="shared" ca="1" si="5"/>
        <v>0.92592843999032071</v>
      </c>
      <c r="AG17" s="306">
        <f t="shared" ca="1" si="27"/>
        <v>135.15882208892748</v>
      </c>
      <c r="AH17" s="304">
        <f t="shared" ca="1" si="28"/>
        <v>144.81978614597725</v>
      </c>
    </row>
    <row r="18" spans="1:34" x14ac:dyDescent="0.2">
      <c r="A18" s="347">
        <f t="shared" ca="1" si="6"/>
        <v>0.01</v>
      </c>
      <c r="B18" s="304">
        <f t="shared" ca="1" si="7"/>
        <v>0.13999999999999999</v>
      </c>
      <c r="D18" s="306">
        <f t="shared" ca="1" si="8"/>
        <v>23.546047642876228</v>
      </c>
      <c r="E18" s="307">
        <f t="shared" ca="1" si="9"/>
        <v>133.54328052046444</v>
      </c>
      <c r="F18" s="304">
        <f t="shared" ca="1" si="10"/>
        <v>135.60318628914311</v>
      </c>
      <c r="G18" s="306">
        <f t="shared" ca="1" si="11"/>
        <v>2.9812681156524987</v>
      </c>
      <c r="H18" s="307">
        <f t="shared" ca="1" si="12"/>
        <v>16.908504836607424</v>
      </c>
      <c r="I18" s="304">
        <f t="shared" ca="1" si="13"/>
        <v>17.169318431055522</v>
      </c>
      <c r="J18" s="306">
        <f t="shared" ca="1" si="14"/>
        <v>0.19189285766067149</v>
      </c>
      <c r="K18" s="307">
        <f t="shared" ca="1" si="15"/>
        <v>1.0883363243303719</v>
      </c>
      <c r="L18" s="304">
        <f t="shared" ca="1" si="0"/>
        <v>1.1051238951710902</v>
      </c>
      <c r="M18" s="306">
        <f t="shared" ca="1" si="16"/>
        <v>1.3962634015954636</v>
      </c>
      <c r="N18" s="304">
        <f t="shared" ca="1" si="17"/>
        <v>80</v>
      </c>
      <c r="P18" s="310">
        <f t="shared" ca="1" si="18"/>
        <v>5</v>
      </c>
      <c r="Q18" s="304">
        <f t="shared" ca="1" si="19"/>
        <v>1290.6420000000001</v>
      </c>
      <c r="R18" s="306">
        <f t="shared" ca="1" si="20"/>
        <v>0.63426245327832775</v>
      </c>
      <c r="S18" s="307">
        <f t="shared" ca="1" si="21"/>
        <v>8.8778287390787174</v>
      </c>
      <c r="T18" s="304">
        <f t="shared" ca="1" si="1"/>
        <v>87.091499930362218</v>
      </c>
      <c r="U18" s="311">
        <f t="shared" ca="1" si="2"/>
        <v>15.123280253186996</v>
      </c>
      <c r="V18" s="306">
        <f t="shared" ca="1" si="3"/>
        <v>1.2248666860547901</v>
      </c>
      <c r="W18" s="304">
        <f t="shared" ca="1" si="4"/>
        <v>1.1926927139648391</v>
      </c>
      <c r="Y18" s="314" t="str">
        <f t="shared" ca="1" si="22"/>
        <v/>
      </c>
      <c r="Z18" s="315" t="str">
        <f t="shared" ca="1" si="23"/>
        <v/>
      </c>
      <c r="AA18" s="316" t="str">
        <f t="shared" ca="1" si="24"/>
        <v/>
      </c>
      <c r="AC18" s="310" t="e">
        <f t="shared" ca="1" si="25"/>
        <v>#N/A</v>
      </c>
      <c r="AD18" s="323" t="e">
        <f t="shared" ca="1" si="26"/>
        <v>#N/A</v>
      </c>
      <c r="AE18" s="324">
        <f t="shared" ca="1" si="5"/>
        <v>1.0883363243303719</v>
      </c>
      <c r="AG18" s="306">
        <f t="shared" ca="1" si="27"/>
        <v>135.60318628368174</v>
      </c>
      <c r="AH18" s="304">
        <f t="shared" ca="1" si="28"/>
        <v>145.2641503407315</v>
      </c>
    </row>
    <row r="19" spans="1:34" x14ac:dyDescent="0.2">
      <c r="A19" s="347">
        <f t="shared" ca="1" si="6"/>
        <v>0.01</v>
      </c>
      <c r="B19" s="304">
        <f t="shared" ca="1" si="7"/>
        <v>0.15</v>
      </c>
      <c r="D19" s="306">
        <f t="shared" ca="1" si="8"/>
        <v>23.623060623682559</v>
      </c>
      <c r="E19" s="307">
        <f t="shared" ca="1" si="9"/>
        <v>133.98006520755644</v>
      </c>
      <c r="F19" s="304">
        <f t="shared" ca="1" si="10"/>
        <v>136.04670839917907</v>
      </c>
      <c r="G19" s="306">
        <f t="shared" ca="1" si="11"/>
        <v>3.2174987218893243</v>
      </c>
      <c r="H19" s="307">
        <f t="shared" ca="1" si="12"/>
        <v>18.248305488682988</v>
      </c>
      <c r="I19" s="304">
        <f t="shared" ca="1" si="13"/>
        <v>18.529785515047312</v>
      </c>
      <c r="J19" s="306">
        <f t="shared" ca="1" si="14"/>
        <v>0.22288669184838061</v>
      </c>
      <c r="K19" s="307">
        <f t="shared" ca="1" si="15"/>
        <v>1.264120375956824</v>
      </c>
      <c r="L19" s="304">
        <f t="shared" ca="1" si="0"/>
        <v>1.2836194149016042</v>
      </c>
      <c r="M19" s="306">
        <f t="shared" ca="1" si="16"/>
        <v>1.3962634015954636</v>
      </c>
      <c r="N19" s="304">
        <f t="shared" ca="1" si="17"/>
        <v>80</v>
      </c>
      <c r="P19" s="310">
        <f t="shared" ca="1" si="18"/>
        <v>5</v>
      </c>
      <c r="Q19" s="304">
        <f t="shared" ca="1" si="19"/>
        <v>1293.8340000000001</v>
      </c>
      <c r="R19" s="306">
        <f t="shared" ca="1" si="20"/>
        <v>0.6358311034159061</v>
      </c>
      <c r="S19" s="307">
        <f t="shared" ca="1" si="21"/>
        <v>8.8714704280445584</v>
      </c>
      <c r="T19" s="304">
        <f t="shared" ca="1" si="1"/>
        <v>87.029124899117122</v>
      </c>
      <c r="U19" s="311">
        <f t="shared" ca="1" si="2"/>
        <v>15.112448942679368</v>
      </c>
      <c r="V19" s="306">
        <f t="shared" ca="1" si="3"/>
        <v>1.2248451550410788</v>
      </c>
      <c r="W19" s="304">
        <f t="shared" ca="1" si="4"/>
        <v>1.3891706719404706</v>
      </c>
      <c r="Y19" s="314" t="str">
        <f t="shared" ca="1" si="22"/>
        <v/>
      </c>
      <c r="Z19" s="315" t="str">
        <f t="shared" ca="1" si="23"/>
        <v/>
      </c>
      <c r="AA19" s="316" t="str">
        <f t="shared" ca="1" si="24"/>
        <v/>
      </c>
      <c r="AC19" s="310" t="e">
        <f t="shared" ca="1" si="25"/>
        <v>#N/A</v>
      </c>
      <c r="AD19" s="323" t="e">
        <f t="shared" ca="1" si="26"/>
        <v>#N/A</v>
      </c>
      <c r="AE19" s="324">
        <f t="shared" ca="1" si="5"/>
        <v>1.264120375956824</v>
      </c>
      <c r="AG19" s="306">
        <f t="shared" ca="1" si="27"/>
        <v>136.04670839370067</v>
      </c>
      <c r="AH19" s="304">
        <f t="shared" ca="1" si="28"/>
        <v>145.70767245075044</v>
      </c>
    </row>
    <row r="20" spans="1:34" x14ac:dyDescent="0.2">
      <c r="A20" s="347">
        <f t="shared" ca="1" si="6"/>
        <v>0.01</v>
      </c>
      <c r="B20" s="304">
        <f t="shared" ca="1" si="7"/>
        <v>0.16</v>
      </c>
      <c r="D20" s="306">
        <f t="shared" ca="1" si="8"/>
        <v>23.699924653065697</v>
      </c>
      <c r="E20" s="307">
        <f t="shared" ca="1" si="9"/>
        <v>134.41600519371841</v>
      </c>
      <c r="F20" s="304">
        <f t="shared" ca="1" si="10"/>
        <v>136.48937277604702</v>
      </c>
      <c r="G20" s="306">
        <f t="shared" ca="1" si="11"/>
        <v>3.4544979684199815</v>
      </c>
      <c r="H20" s="307">
        <f t="shared" ca="1" si="12"/>
        <v>19.592465540620172</v>
      </c>
      <c r="I20" s="304">
        <f t="shared" ca="1" si="13"/>
        <v>19.894679242807776</v>
      </c>
      <c r="J20" s="306">
        <f t="shared" ca="1" si="14"/>
        <v>0.25624667529992717</v>
      </c>
      <c r="K20" s="307">
        <f t="shared" ca="1" si="15"/>
        <v>1.4533242311033399</v>
      </c>
      <c r="L20" s="304">
        <f t="shared" ca="1" si="0"/>
        <v>1.4757417386908795</v>
      </c>
      <c r="M20" s="306">
        <f t="shared" ca="1" si="16"/>
        <v>1.3962634015954636</v>
      </c>
      <c r="N20" s="304">
        <f t="shared" ca="1" si="17"/>
        <v>80</v>
      </c>
      <c r="P20" s="310">
        <f t="shared" ca="1" si="18"/>
        <v>5</v>
      </c>
      <c r="Q20" s="304">
        <f t="shared" ca="1" si="19"/>
        <v>1297.0260000000001</v>
      </c>
      <c r="R20" s="306">
        <f t="shared" ca="1" si="20"/>
        <v>0.63739975355348455</v>
      </c>
      <c r="S20" s="307">
        <f t="shared" ca="1" si="21"/>
        <v>8.8650964305090234</v>
      </c>
      <c r="T20" s="304">
        <f t="shared" ca="1" si="1"/>
        <v>86.96659598329353</v>
      </c>
      <c r="U20" s="311">
        <f t="shared" ca="1" si="2"/>
        <v>15.101590910395112</v>
      </c>
      <c r="V20" s="306">
        <f t="shared" ca="1" si="3"/>
        <v>1.2248219807176766</v>
      </c>
      <c r="W20" s="304">
        <f t="shared" ca="1" si="4"/>
        <v>1.6013286995769478</v>
      </c>
      <c r="Y20" s="314" t="str">
        <f t="shared" ca="1" si="22"/>
        <v/>
      </c>
      <c r="Z20" s="315" t="str">
        <f t="shared" ca="1" si="23"/>
        <v/>
      </c>
      <c r="AA20" s="316" t="str">
        <f t="shared" ca="1" si="24"/>
        <v/>
      </c>
      <c r="AC20" s="310" t="e">
        <f t="shared" ca="1" si="25"/>
        <v>#N/A</v>
      </c>
      <c r="AD20" s="323" t="e">
        <f t="shared" ca="1" si="26"/>
        <v>#N/A</v>
      </c>
      <c r="AE20" s="324">
        <f t="shared" ca="1" si="5"/>
        <v>1.4533242311033399</v>
      </c>
      <c r="AG20" s="306">
        <f t="shared" ca="1" si="27"/>
        <v>136.48937277055151</v>
      </c>
      <c r="AH20" s="304">
        <f t="shared" ca="1" si="28"/>
        <v>146.15033682760128</v>
      </c>
    </row>
    <row r="21" spans="1:34" x14ac:dyDescent="0.2">
      <c r="A21" s="347">
        <f t="shared" ca="1" si="6"/>
        <v>0.01</v>
      </c>
      <c r="B21" s="304">
        <f t="shared" ca="1" si="7"/>
        <v>0.17</v>
      </c>
      <c r="D21" s="306">
        <f t="shared" ca="1" si="8"/>
        <v>23.776637005364151</v>
      </c>
      <c r="E21" s="307">
        <f t="shared" ca="1" si="9"/>
        <v>134.85108502117112</v>
      </c>
      <c r="F21" s="304">
        <f t="shared" ca="1" si="10"/>
        <v>136.93116372350005</v>
      </c>
      <c r="G21" s="306">
        <f t="shared" ca="1" si="11"/>
        <v>3.6922643384736231</v>
      </c>
      <c r="H21" s="307">
        <f t="shared" ca="1" si="12"/>
        <v>20.940976390831882</v>
      </c>
      <c r="I21" s="304">
        <f t="shared" ca="1" si="13"/>
        <v>21.263990880042776</v>
      </c>
      <c r="J21" s="306">
        <f t="shared" ca="1" si="14"/>
        <v>0.2919804868343952</v>
      </c>
      <c r="K21" s="307">
        <f t="shared" ca="1" si="15"/>
        <v>1.6559914407606002</v>
      </c>
      <c r="L21" s="304">
        <f t="shared" ca="1" si="0"/>
        <v>1.6815350893051322</v>
      </c>
      <c r="M21" s="306">
        <f t="shared" ca="1" si="16"/>
        <v>1.3962634015954636</v>
      </c>
      <c r="N21" s="304">
        <f t="shared" ca="1" si="17"/>
        <v>80</v>
      </c>
      <c r="P21" s="310">
        <f t="shared" ca="1" si="18"/>
        <v>5</v>
      </c>
      <c r="Q21" s="304">
        <f t="shared" ca="1" si="19"/>
        <v>1300.2180000000001</v>
      </c>
      <c r="R21" s="306">
        <f t="shared" ca="1" si="20"/>
        <v>0.63896840369106289</v>
      </c>
      <c r="S21" s="307">
        <f t="shared" ca="1" si="21"/>
        <v>8.8587067464721123</v>
      </c>
      <c r="T21" s="304">
        <f t="shared" ca="1" si="1"/>
        <v>86.903913182891429</v>
      </c>
      <c r="U21" s="311">
        <f t="shared" ca="1" si="2"/>
        <v>15.090706156334226</v>
      </c>
      <c r="V21" s="306">
        <f t="shared" ca="1" si="3"/>
        <v>1.2247971578437509</v>
      </c>
      <c r="W21" s="304">
        <f t="shared" ca="1" si="4"/>
        <v>1.8293102053060222</v>
      </c>
      <c r="Y21" s="314" t="str">
        <f t="shared" ca="1" si="22"/>
        <v/>
      </c>
      <c r="Z21" s="315" t="str">
        <f t="shared" ca="1" si="23"/>
        <v/>
      </c>
      <c r="AA21" s="316" t="str">
        <f t="shared" ca="1" si="24"/>
        <v/>
      </c>
      <c r="AC21" s="310" t="e">
        <f t="shared" ca="1" si="25"/>
        <v>#N/A</v>
      </c>
      <c r="AD21" s="323" t="e">
        <f t="shared" ca="1" si="26"/>
        <v>#N/A</v>
      </c>
      <c r="AE21" s="324">
        <f t="shared" ca="1" si="5"/>
        <v>1.6559914407606002</v>
      </c>
      <c r="AG21" s="306">
        <f t="shared" ca="1" si="27"/>
        <v>136.93116371798735</v>
      </c>
      <c r="AH21" s="304">
        <f t="shared" ca="1" si="28"/>
        <v>146.59212777503711</v>
      </c>
    </row>
    <row r="22" spans="1:34" x14ac:dyDescent="0.2">
      <c r="A22" s="347">
        <f t="shared" ca="1" si="6"/>
        <v>0.01</v>
      </c>
      <c r="B22" s="304">
        <f t="shared" ca="1" si="7"/>
        <v>0.18000000000000002</v>
      </c>
      <c r="D22" s="306">
        <f t="shared" ca="1" si="8"/>
        <v>23.853194946817226</v>
      </c>
      <c r="E22" s="307">
        <f t="shared" ca="1" si="9"/>
        <v>135.28528918620367</v>
      </c>
      <c r="F22" s="304">
        <f t="shared" ca="1" si="10"/>
        <v>137.37206549865084</v>
      </c>
      <c r="G22" s="306">
        <f t="shared" ca="1" si="11"/>
        <v>3.9307962879417953</v>
      </c>
      <c r="H22" s="307">
        <f t="shared" ca="1" si="12"/>
        <v>22.293829282693917</v>
      </c>
      <c r="I22" s="304">
        <f t="shared" ca="1" si="13"/>
        <v>22.637711535029283</v>
      </c>
      <c r="J22" s="306">
        <f t="shared" ca="1" si="14"/>
        <v>0.33009578996647226</v>
      </c>
      <c r="K22" s="307">
        <f t="shared" ca="1" si="15"/>
        <v>1.8721654691282292</v>
      </c>
      <c r="L22" s="304">
        <f t="shared" ca="1" si="0"/>
        <v>1.9010436013804923</v>
      </c>
      <c r="M22" s="306">
        <f t="shared" ca="1" si="16"/>
        <v>1.3962634015954636</v>
      </c>
      <c r="N22" s="304">
        <f t="shared" ca="1" si="17"/>
        <v>80</v>
      </c>
      <c r="P22" s="310">
        <f t="shared" ca="1" si="18"/>
        <v>5</v>
      </c>
      <c r="Q22" s="304">
        <f t="shared" ca="1" si="19"/>
        <v>1303.4100000000001</v>
      </c>
      <c r="R22" s="306">
        <f t="shared" ca="1" si="20"/>
        <v>0.64053705382864123</v>
      </c>
      <c r="S22" s="307">
        <f t="shared" ca="1" si="21"/>
        <v>8.8523013759338252</v>
      </c>
      <c r="T22" s="304">
        <f t="shared" ca="1" si="1"/>
        <v>86.841076497910834</v>
      </c>
      <c r="U22" s="311">
        <f t="shared" ca="1" si="2"/>
        <v>15.079794680496716</v>
      </c>
      <c r="V22" s="306">
        <f t="shared" ca="1" si="3"/>
        <v>1.2247706811961692</v>
      </c>
      <c r="W22" s="304">
        <f t="shared" ca="1" si="4"/>
        <v>2.0732585130493915</v>
      </c>
      <c r="Y22" s="314" t="str">
        <f t="shared" ca="1" si="22"/>
        <v/>
      </c>
      <c r="Z22" s="315" t="str">
        <f t="shared" ca="1" si="23"/>
        <v/>
      </c>
      <c r="AA22" s="316" t="str">
        <f t="shared" ca="1" si="24"/>
        <v/>
      </c>
      <c r="AC22" s="310" t="e">
        <f t="shared" ca="1" si="25"/>
        <v>#N/A</v>
      </c>
      <c r="AD22" s="323" t="e">
        <f t="shared" ca="1" si="26"/>
        <v>#N/A</v>
      </c>
      <c r="AE22" s="324">
        <f t="shared" ca="1" si="5"/>
        <v>1.8721654691282292</v>
      </c>
      <c r="AG22" s="306">
        <f t="shared" ca="1" si="27"/>
        <v>137.37206549312086</v>
      </c>
      <c r="AH22" s="304">
        <f t="shared" ca="1" si="28"/>
        <v>147.03302955017062</v>
      </c>
    </row>
    <row r="23" spans="1:34" x14ac:dyDescent="0.2">
      <c r="A23" s="347">
        <f t="shared" ca="1" si="6"/>
        <v>0.01</v>
      </c>
      <c r="B23" s="304">
        <f t="shared" ca="1" si="7"/>
        <v>0.19000000000000003</v>
      </c>
      <c r="D23" s="306">
        <f t="shared" ca="1" si="8"/>
        <v>23.929595735771827</v>
      </c>
      <c r="E23" s="307">
        <f t="shared" ca="1" si="9"/>
        <v>135.71860214034612</v>
      </c>
      <c r="F23" s="304">
        <f t="shared" ca="1" si="10"/>
        <v>137.81206231316267</v>
      </c>
      <c r="G23" s="306">
        <f t="shared" ca="1" si="11"/>
        <v>4.1700922452995135</v>
      </c>
      <c r="H23" s="307">
        <f t="shared" ca="1" si="12"/>
        <v>23.651015304097378</v>
      </c>
      <c r="I23" s="304">
        <f t="shared" ca="1" si="13"/>
        <v>24.015832158160904</v>
      </c>
      <c r="J23" s="306">
        <f t="shared" ca="1" si="14"/>
        <v>0.37060023263267883</v>
      </c>
      <c r="K23" s="307">
        <f t="shared" ca="1" si="15"/>
        <v>2.1018896920621857</v>
      </c>
      <c r="L23" s="304">
        <f t="shared" ca="1" si="0"/>
        <v>2.134311319846443</v>
      </c>
      <c r="M23" s="306">
        <f t="shared" ca="1" si="16"/>
        <v>1.3962634015954636</v>
      </c>
      <c r="N23" s="304">
        <f t="shared" ca="1" si="17"/>
        <v>80</v>
      </c>
      <c r="P23" s="310">
        <f t="shared" ca="1" si="18"/>
        <v>5</v>
      </c>
      <c r="Q23" s="304">
        <f t="shared" ca="1" si="19"/>
        <v>1306.6020000000001</v>
      </c>
      <c r="R23" s="306">
        <f t="shared" ca="1" si="20"/>
        <v>0.64210570396621969</v>
      </c>
      <c r="S23" s="307">
        <f t="shared" ca="1" si="21"/>
        <v>8.8458803188941637</v>
      </c>
      <c r="T23" s="304">
        <f t="shared" ca="1" si="1"/>
        <v>86.778085928351757</v>
      </c>
      <c r="U23" s="311">
        <f t="shared" ca="1" si="2"/>
        <v>15.06885648288258</v>
      </c>
      <c r="V23" s="306">
        <f t="shared" ca="1" si="3"/>
        <v>1.2247425455697634</v>
      </c>
      <c r="W23" s="304">
        <f t="shared" ca="1" si="4"/>
        <v>2.3333168476092578</v>
      </c>
      <c r="Y23" s="314" t="str">
        <f t="shared" ca="1" si="22"/>
        <v/>
      </c>
      <c r="Z23" s="315" t="str">
        <f t="shared" ca="1" si="23"/>
        <v/>
      </c>
      <c r="AA23" s="316" t="str">
        <f t="shared" ca="1" si="24"/>
        <v/>
      </c>
      <c r="AC23" s="310" t="e">
        <f t="shared" ca="1" si="25"/>
        <v>#N/A</v>
      </c>
      <c r="AD23" s="323" t="e">
        <f t="shared" ca="1" si="26"/>
        <v>#N/A</v>
      </c>
      <c r="AE23" s="324">
        <f t="shared" ca="1" si="5"/>
        <v>2.1018896920621857</v>
      </c>
      <c r="AG23" s="306">
        <f t="shared" ca="1" si="27"/>
        <v>137.81206230761526</v>
      </c>
      <c r="AH23" s="304">
        <f t="shared" ca="1" si="28"/>
        <v>147.47302636466503</v>
      </c>
    </row>
    <row r="24" spans="1:34" x14ac:dyDescent="0.2">
      <c r="A24" s="347">
        <f t="shared" ca="1" si="6"/>
        <v>0.01</v>
      </c>
      <c r="B24" s="304">
        <f t="shared" ca="1" si="7"/>
        <v>0.20000000000000004</v>
      </c>
      <c r="D24" s="306">
        <f t="shared" ca="1" si="8"/>
        <v>24.005836622892236</v>
      </c>
      <c r="E24" s="307">
        <f t="shared" ca="1" si="9"/>
        <v>136.15100829155946</v>
      </c>
      <c r="F24" s="304">
        <f t="shared" ca="1" si="10"/>
        <v>138.25113833445744</v>
      </c>
      <c r="G24" s="306">
        <f t="shared" ca="1" si="11"/>
        <v>4.4101506115284357</v>
      </c>
      <c r="H24" s="307">
        <f t="shared" ca="1" si="12"/>
        <v>25.012525387012971</v>
      </c>
      <c r="I24" s="304">
        <f t="shared" ca="1" si="13"/>
        <v>25.398343541505476</v>
      </c>
      <c r="J24" s="306">
        <f t="shared" ca="1" si="14"/>
        <v>0.41350144691681856</v>
      </c>
      <c r="K24" s="307">
        <f t="shared" ca="1" si="15"/>
        <v>2.3452073955177375</v>
      </c>
      <c r="L24" s="304">
        <f t="shared" ca="1" si="0"/>
        <v>2.3813821983447747</v>
      </c>
      <c r="M24" s="306">
        <f t="shared" ca="1" si="16"/>
        <v>1.3962634015954636</v>
      </c>
      <c r="N24" s="304">
        <f t="shared" ca="1" si="17"/>
        <v>80</v>
      </c>
      <c r="P24" s="310">
        <f t="shared" ca="1" si="18"/>
        <v>5</v>
      </c>
      <c r="Q24" s="304">
        <f t="shared" ca="1" si="19"/>
        <v>1309.7940000000001</v>
      </c>
      <c r="R24" s="306">
        <f t="shared" ca="1" si="20"/>
        <v>0.64367435410379803</v>
      </c>
      <c r="S24" s="307">
        <f t="shared" ca="1" si="21"/>
        <v>8.8394435753531262</v>
      </c>
      <c r="T24" s="304">
        <f t="shared" ca="1" si="1"/>
        <v>86.714941474214172</v>
      </c>
      <c r="U24" s="311">
        <f t="shared" ca="1" si="2"/>
        <v>15.057891563491815</v>
      </c>
      <c r="V24" s="306">
        <f t="shared" ca="1" si="3"/>
        <v>1.2247127457775853</v>
      </c>
      <c r="W24" s="304">
        <f t="shared" ca="1" si="4"/>
        <v>2.6096283199451369</v>
      </c>
      <c r="Y24" s="314" t="str">
        <f t="shared" ca="1" si="22"/>
        <v/>
      </c>
      <c r="Z24" s="315" t="str">
        <f t="shared" ca="1" si="23"/>
        <v/>
      </c>
      <c r="AA24" s="316" t="str">
        <f t="shared" ca="1" si="24"/>
        <v/>
      </c>
      <c r="AC24" s="310" t="e">
        <f t="shared" ca="1" si="25"/>
        <v>#N/A</v>
      </c>
      <c r="AD24" s="323" t="e">
        <f t="shared" ca="1" si="26"/>
        <v>#N/A</v>
      </c>
      <c r="AE24" s="324">
        <f t="shared" ca="1" si="5"/>
        <v>2.3452073955177375</v>
      </c>
      <c r="AG24" s="306">
        <f t="shared" ca="1" si="27"/>
        <v>138.25113832889247</v>
      </c>
      <c r="AH24" s="304">
        <f t="shared" ca="1" si="28"/>
        <v>147.91210238594223</v>
      </c>
    </row>
    <row r="25" spans="1:34" x14ac:dyDescent="0.2">
      <c r="A25" s="347">
        <f t="shared" ca="1" si="6"/>
        <v>0.01</v>
      </c>
      <c r="B25" s="304">
        <f t="shared" ca="1" si="7"/>
        <v>0.21000000000000005</v>
      </c>
      <c r="D25" s="306">
        <f t="shared" ca="1" si="8"/>
        <v>24.060353865873243</v>
      </c>
      <c r="E25" s="307">
        <f t="shared" ca="1" si="9"/>
        <v>136.46020759415629</v>
      </c>
      <c r="F25" s="304">
        <f t="shared" ca="1" si="10"/>
        <v>138.56510702478914</v>
      </c>
      <c r="G25" s="306">
        <f t="shared" ca="1" si="11"/>
        <v>4.6507541501871685</v>
      </c>
      <c r="H25" s="307">
        <f t="shared" ca="1" si="12"/>
        <v>26.377127462954533</v>
      </c>
      <c r="I25" s="304">
        <f t="shared" ca="1" si="13"/>
        <v>26.783994611753368</v>
      </c>
      <c r="J25" s="306">
        <f t="shared" ca="1" si="14"/>
        <v>0.45880597072539658</v>
      </c>
      <c r="K25" s="307">
        <f t="shared" ca="1" si="15"/>
        <v>2.602155659767575</v>
      </c>
      <c r="L25" s="304">
        <f t="shared" ca="1" si="0"/>
        <v>2.6422938891110688</v>
      </c>
      <c r="M25" s="306">
        <f t="shared" ca="1" si="16"/>
        <v>1.3962634015954636</v>
      </c>
      <c r="N25" s="304">
        <f t="shared" ca="1" si="17"/>
        <v>80</v>
      </c>
      <c r="P25" s="310">
        <f t="shared" ca="1" si="18"/>
        <v>6</v>
      </c>
      <c r="Q25" s="304">
        <f t="shared" ca="1" si="19"/>
        <v>1311.89</v>
      </c>
      <c r="R25" s="306">
        <f t="shared" ca="1" si="20"/>
        <v>0.64470439504626798</v>
      </c>
      <c r="S25" s="307">
        <f t="shared" ca="1" si="21"/>
        <v>8.8329965314026637</v>
      </c>
      <c r="T25" s="304">
        <f t="shared" ca="1" si="1"/>
        <v>86.651695973060129</v>
      </c>
      <c r="U25" s="311">
        <f t="shared" ca="1" si="2"/>
        <v>15.046909097470785</v>
      </c>
      <c r="V25" s="306">
        <f t="shared" ca="1" si="3"/>
        <v>1.2246812773999696</v>
      </c>
      <c r="W25" s="304">
        <f t="shared" ca="1" si="4"/>
        <v>2.9020668281026762</v>
      </c>
      <c r="Y25" s="314" t="str">
        <f t="shared" ca="1" si="22"/>
        <v/>
      </c>
      <c r="Z25" s="315" t="str">
        <f t="shared" ca="1" si="23"/>
        <v/>
      </c>
      <c r="AA25" s="316" t="str">
        <f t="shared" ca="1" si="24"/>
        <v/>
      </c>
      <c r="AC25" s="310" t="e">
        <f t="shared" ca="1" si="25"/>
        <v>#N/A</v>
      </c>
      <c r="AD25" s="323" t="e">
        <f t="shared" ca="1" si="26"/>
        <v>#N/A</v>
      </c>
      <c r="AE25" s="324">
        <f t="shared" ca="1" si="5"/>
        <v>2.602155659767575</v>
      </c>
      <c r="AG25" s="306">
        <f t="shared" ca="1" si="27"/>
        <v>138.56510701921087</v>
      </c>
      <c r="AH25" s="304">
        <f t="shared" ca="1" si="28"/>
        <v>148.22607107626064</v>
      </c>
    </row>
    <row r="26" spans="1:34" x14ac:dyDescent="0.2">
      <c r="A26" s="347">
        <f t="shared" ca="1" si="6"/>
        <v>0.01</v>
      </c>
      <c r="B26" s="304">
        <f t="shared" ca="1" si="7"/>
        <v>0.22000000000000006</v>
      </c>
      <c r="D26" s="306">
        <f t="shared" ca="1" si="8"/>
        <v>24.09308680887159</v>
      </c>
      <c r="E26" s="307">
        <f t="shared" ca="1" si="9"/>
        <v>136.64585603442089</v>
      </c>
      <c r="F26" s="304">
        <f t="shared" ca="1" si="10"/>
        <v>138.75361906400676</v>
      </c>
      <c r="G26" s="306">
        <f t="shared" ca="1" si="11"/>
        <v>4.8916850182758846</v>
      </c>
      <c r="H26" s="307">
        <f t="shared" ca="1" si="12"/>
        <v>27.743586023298743</v>
      </c>
      <c r="I26" s="304">
        <f t="shared" ca="1" si="13"/>
        <v>28.171530802393434</v>
      </c>
      <c r="J26" s="306">
        <f t="shared" ca="1" si="14"/>
        <v>0.50651816656771187</v>
      </c>
      <c r="K26" s="307">
        <f t="shared" ca="1" si="15"/>
        <v>2.8727592271988414</v>
      </c>
      <c r="L26" s="304">
        <f t="shared" ca="1" si="0"/>
        <v>2.9170715161818026</v>
      </c>
      <c r="M26" s="306">
        <f t="shared" ca="1" si="16"/>
        <v>1.3962634015954636</v>
      </c>
      <c r="N26" s="304">
        <f t="shared" ca="1" si="17"/>
        <v>80</v>
      </c>
      <c r="P26" s="310">
        <f t="shared" ca="1" si="18"/>
        <v>6</v>
      </c>
      <c r="Q26" s="304">
        <f t="shared" ca="1" si="19"/>
        <v>1312.89</v>
      </c>
      <c r="R26" s="306">
        <f t="shared" ca="1" si="20"/>
        <v>0.64519582679362963</v>
      </c>
      <c r="S26" s="307">
        <f t="shared" ca="1" si="21"/>
        <v>8.8265445731347274</v>
      </c>
      <c r="T26" s="304">
        <f t="shared" ca="1" si="1"/>
        <v>86.58840226245168</v>
      </c>
      <c r="U26" s="311">
        <f t="shared" ca="1" si="2"/>
        <v>15.035918259965849</v>
      </c>
      <c r="V26" s="306">
        <f t="shared" ca="1" si="3"/>
        <v>1.2246481375354754</v>
      </c>
      <c r="W26" s="304">
        <f t="shared" ca="1" si="4"/>
        <v>3.2104495685880114</v>
      </c>
      <c r="Y26" s="314" t="str">
        <f t="shared" ca="1" si="22"/>
        <v/>
      </c>
      <c r="Z26" s="315" t="str">
        <f t="shared" ca="1" si="23"/>
        <v/>
      </c>
      <c r="AA26" s="316" t="str">
        <f t="shared" ca="1" si="24"/>
        <v/>
      </c>
      <c r="AC26" s="310" t="e">
        <f t="shared" ca="1" si="25"/>
        <v>#N/A</v>
      </c>
      <c r="AD26" s="323" t="e">
        <f t="shared" ca="1" si="26"/>
        <v>#N/A</v>
      </c>
      <c r="AE26" s="324">
        <f t="shared" ca="1" si="5"/>
        <v>2.8727592271988414</v>
      </c>
      <c r="AG26" s="306">
        <f t="shared" ca="1" si="27"/>
        <v>138.75361905841939</v>
      </c>
      <c r="AH26" s="304">
        <f t="shared" ca="1" si="28"/>
        <v>148.41458311546916</v>
      </c>
    </row>
    <row r="27" spans="1:34" x14ac:dyDescent="0.2">
      <c r="A27" s="347">
        <f t="shared" ca="1" si="6"/>
        <v>0.01</v>
      </c>
      <c r="B27" s="304">
        <f t="shared" ca="1" si="7"/>
        <v>0.23000000000000007</v>
      </c>
      <c r="D27" s="306">
        <f t="shared" ca="1" si="8"/>
        <v>24.125568110666467</v>
      </c>
      <c r="E27" s="307">
        <f t="shared" ca="1" si="9"/>
        <v>136.83007736615249</v>
      </c>
      <c r="F27" s="304">
        <f t="shared" ca="1" si="10"/>
        <v>138.94068197864038</v>
      </c>
      <c r="G27" s="306">
        <f t="shared" ca="1" si="11"/>
        <v>5.1329406993825497</v>
      </c>
      <c r="H27" s="307">
        <f t="shared" ca="1" si="12"/>
        <v>29.111886796960267</v>
      </c>
      <c r="I27" s="304">
        <f t="shared" ca="1" si="13"/>
        <v>29.560937622179839</v>
      </c>
      <c r="J27" s="306">
        <f t="shared" ca="1" si="14"/>
        <v>0.55664129515600402</v>
      </c>
      <c r="K27" s="307">
        <f t="shared" ca="1" si="15"/>
        <v>3.1570365913001366</v>
      </c>
      <c r="L27" s="304">
        <f t="shared" ca="1" si="0"/>
        <v>3.2057338583046691</v>
      </c>
      <c r="M27" s="306">
        <f t="shared" ca="1" si="16"/>
        <v>1.3962634015954636</v>
      </c>
      <c r="N27" s="304">
        <f t="shared" ca="1" si="17"/>
        <v>80</v>
      </c>
      <c r="P27" s="310">
        <f t="shared" ca="1" si="18"/>
        <v>6</v>
      </c>
      <c r="Q27" s="304">
        <f t="shared" ca="1" si="19"/>
        <v>1313.89</v>
      </c>
      <c r="R27" s="306">
        <f t="shared" ca="1" si="20"/>
        <v>0.64568725854099129</v>
      </c>
      <c r="S27" s="307">
        <f t="shared" ca="1" si="21"/>
        <v>8.8200877005493172</v>
      </c>
      <c r="T27" s="304">
        <f t="shared" ca="1" si="1"/>
        <v>86.525060342388812</v>
      </c>
      <c r="U27" s="311">
        <f t="shared" ca="1" si="2"/>
        <v>15.024919050977008</v>
      </c>
      <c r="V27" s="306">
        <f t="shared" ca="1" si="3"/>
        <v>1.2246133240550712</v>
      </c>
      <c r="W27" s="304">
        <f t="shared" ca="1" si="4"/>
        <v>3.5348339950362635</v>
      </c>
      <c r="Y27" s="314" t="str">
        <f t="shared" ca="1" si="22"/>
        <v/>
      </c>
      <c r="Z27" s="315" t="str">
        <f t="shared" ca="1" si="23"/>
        <v/>
      </c>
      <c r="AA27" s="316" t="str">
        <f t="shared" ca="1" si="24"/>
        <v/>
      </c>
      <c r="AC27" s="310" t="e">
        <f t="shared" ca="1" si="25"/>
        <v>#N/A</v>
      </c>
      <c r="AD27" s="323" t="e">
        <f t="shared" ca="1" si="26"/>
        <v>#N/A</v>
      </c>
      <c r="AE27" s="324">
        <f t="shared" ca="1" si="5"/>
        <v>3.1570365913001366</v>
      </c>
      <c r="AG27" s="306">
        <f t="shared" ca="1" si="27"/>
        <v>138.94068197304387</v>
      </c>
      <c r="AH27" s="304">
        <f t="shared" ca="1" si="28"/>
        <v>148.60164603009363</v>
      </c>
    </row>
    <row r="28" spans="1:34" x14ac:dyDescent="0.2">
      <c r="A28" s="347">
        <f t="shared" ca="1" si="6"/>
        <v>0.01</v>
      </c>
      <c r="B28" s="304">
        <f t="shared" ca="1" si="7"/>
        <v>0.24000000000000007</v>
      </c>
      <c r="D28" s="306">
        <f t="shared" ca="1" si="8"/>
        <v>24.157796140567555</v>
      </c>
      <c r="E28" s="307">
        <f t="shared" ca="1" si="9"/>
        <v>137.01286234130797</v>
      </c>
      <c r="F28" s="304">
        <f t="shared" ca="1" si="10"/>
        <v>139.126286377979</v>
      </c>
      <c r="G28" s="306">
        <f t="shared" ca="1" si="11"/>
        <v>5.3745186607882252</v>
      </c>
      <c r="H28" s="307">
        <f t="shared" ca="1" si="12"/>
        <v>30.482015420373347</v>
      </c>
      <c r="I28" s="304">
        <f t="shared" ca="1" si="13"/>
        <v>30.952200485959626</v>
      </c>
      <c r="J28" s="306">
        <f t="shared" ca="1" si="14"/>
        <v>0.60917859195685786</v>
      </c>
      <c r="K28" s="307">
        <f t="shared" ca="1" si="15"/>
        <v>3.4550061023868048</v>
      </c>
      <c r="L28" s="304">
        <f t="shared" ca="1" si="0"/>
        <v>3.5082995488453661</v>
      </c>
      <c r="M28" s="306">
        <f t="shared" ca="1" si="16"/>
        <v>1.3962634015954636</v>
      </c>
      <c r="N28" s="304">
        <f t="shared" ca="1" si="17"/>
        <v>80</v>
      </c>
      <c r="P28" s="310">
        <f t="shared" ca="1" si="18"/>
        <v>6</v>
      </c>
      <c r="Q28" s="304">
        <f t="shared" ca="1" si="19"/>
        <v>1314.89</v>
      </c>
      <c r="R28" s="306">
        <f t="shared" ca="1" si="20"/>
        <v>0.64617869028835295</v>
      </c>
      <c r="S28" s="307">
        <f t="shared" ca="1" si="21"/>
        <v>8.8136259136464332</v>
      </c>
      <c r="T28" s="304">
        <f t="shared" ca="1" si="1"/>
        <v>86.46167021287151</v>
      </c>
      <c r="U28" s="311">
        <f t="shared" ca="1" si="2"/>
        <v>15.013911470504258</v>
      </c>
      <c r="V28" s="306">
        <f t="shared" ca="1" si="3"/>
        <v>1.2245768348543655</v>
      </c>
      <c r="W28" s="304">
        <f t="shared" ca="1" si="4"/>
        <v>3.8752768312174442</v>
      </c>
      <c r="Y28" s="314" t="str">
        <f t="shared" ca="1" si="22"/>
        <v/>
      </c>
      <c r="Z28" s="315" t="str">
        <f t="shared" ca="1" si="23"/>
        <v/>
      </c>
      <c r="AA28" s="316" t="str">
        <f t="shared" ca="1" si="24"/>
        <v/>
      </c>
      <c r="AC28" s="310" t="e">
        <f t="shared" ca="1" si="25"/>
        <v>#N/A</v>
      </c>
      <c r="AD28" s="323" t="e">
        <f t="shared" ca="1" si="26"/>
        <v>#N/A</v>
      </c>
      <c r="AE28" s="324">
        <f t="shared" ca="1" si="5"/>
        <v>3.4550061023868048</v>
      </c>
      <c r="AG28" s="306">
        <f t="shared" ca="1" si="27"/>
        <v>139.12628637237322</v>
      </c>
      <c r="AH28" s="304">
        <f t="shared" ca="1" si="28"/>
        <v>148.78725042942298</v>
      </c>
    </row>
    <row r="29" spans="1:34" x14ac:dyDescent="0.2">
      <c r="A29" s="347">
        <f t="shared" ca="1" si="6"/>
        <v>0.01</v>
      </c>
      <c r="B29" s="304">
        <f t="shared" ca="1" si="7"/>
        <v>0.25000000000000006</v>
      </c>
      <c r="D29" s="306">
        <f t="shared" ca="1" si="8"/>
        <v>24.189769276643247</v>
      </c>
      <c r="E29" s="307">
        <f t="shared" ca="1" si="9"/>
        <v>137.19420176151732</v>
      </c>
      <c r="F29" s="304">
        <f t="shared" ca="1" si="10"/>
        <v>139.3104229217511</v>
      </c>
      <c r="G29" s="306">
        <f t="shared" ca="1" si="11"/>
        <v>5.6164163535546576</v>
      </c>
      <c r="H29" s="307">
        <f t="shared" ca="1" si="12"/>
        <v>31.85395743798852</v>
      </c>
      <c r="I29" s="304">
        <f t="shared" ca="1" si="13"/>
        <v>32.345304715177136</v>
      </c>
      <c r="J29" s="306">
        <f t="shared" ca="1" si="14"/>
        <v>0.66413326702857223</v>
      </c>
      <c r="K29" s="307">
        <f t="shared" ca="1" si="15"/>
        <v>3.7666859666786143</v>
      </c>
      <c r="L29" s="304">
        <f t="shared" ca="1" si="0"/>
        <v>3.82478707485105</v>
      </c>
      <c r="M29" s="306">
        <f t="shared" ca="1" si="16"/>
        <v>1.3962634015954636</v>
      </c>
      <c r="N29" s="304">
        <f t="shared" ca="1" si="17"/>
        <v>80</v>
      </c>
      <c r="P29" s="310">
        <f t="shared" ca="1" si="18"/>
        <v>6</v>
      </c>
      <c r="Q29" s="304">
        <f t="shared" ca="1" si="19"/>
        <v>1315.89</v>
      </c>
      <c r="R29" s="306">
        <f t="shared" ca="1" si="20"/>
        <v>0.64667012203571461</v>
      </c>
      <c r="S29" s="307">
        <f t="shared" ca="1" si="21"/>
        <v>8.8071592124260754</v>
      </c>
      <c r="T29" s="304">
        <f t="shared" ca="1" si="1"/>
        <v>86.398231873899803</v>
      </c>
      <c r="U29" s="311">
        <f t="shared" ca="1" si="2"/>
        <v>15.002895518547604</v>
      </c>
      <c r="V29" s="306">
        <f t="shared" ca="1" si="3"/>
        <v>1.224538667853748</v>
      </c>
      <c r="W29" s="304">
        <f t="shared" ca="1" si="4"/>
        <v>4.2318340627207895</v>
      </c>
      <c r="Y29" s="314" t="str">
        <f t="shared" ca="1" si="22"/>
        <v>Sortie de rampe</v>
      </c>
      <c r="Z29" s="315" t="str">
        <f t="shared" ca="1" si="23"/>
        <v/>
      </c>
      <c r="AA29" s="316" t="str">
        <f t="shared" ca="1" si="24"/>
        <v/>
      </c>
      <c r="AC29" s="310" t="e">
        <f t="shared" ca="1" si="25"/>
        <v>#N/A</v>
      </c>
      <c r="AD29" s="323" t="e">
        <f t="shared" ca="1" si="26"/>
        <v>#N/A</v>
      </c>
      <c r="AE29" s="324">
        <f t="shared" ca="1" si="5"/>
        <v>3.7666859666786143</v>
      </c>
      <c r="AG29" s="306">
        <f t="shared" ca="1" si="27"/>
        <v>139.31042291613599</v>
      </c>
      <c r="AH29" s="304">
        <f t="shared" ca="1" si="28"/>
        <v>148.97138697318576</v>
      </c>
    </row>
    <row r="30" spans="1:34" x14ac:dyDescent="0.2">
      <c r="A30" s="347">
        <f t="shared" ca="1" si="6"/>
        <v>0.01</v>
      </c>
      <c r="B30" s="304">
        <f t="shared" ca="1" si="7"/>
        <v>0.26000000000000006</v>
      </c>
      <c r="D30" s="306">
        <f t="shared" ca="1" si="8"/>
        <v>24.221485905907766</v>
      </c>
      <c r="E30" s="307">
        <f t="shared" ca="1" si="9"/>
        <v>137.37408647914535</v>
      </c>
      <c r="F30" s="304">
        <f t="shared" ca="1" si="10"/>
        <v>139.49308232120256</v>
      </c>
      <c r="G30" s="306">
        <f t="shared" ca="1" si="11"/>
        <v>5.8586312126137354</v>
      </c>
      <c r="H30" s="307">
        <f t="shared" ca="1" si="12"/>
        <v>33.22769830277997</v>
      </c>
      <c r="I30" s="304">
        <f t="shared" ca="1" si="13"/>
        <v>33.740235538389157</v>
      </c>
      <c r="J30" s="306">
        <f t="shared" ca="1" si="14"/>
        <v>0.7215085048594142</v>
      </c>
      <c r="K30" s="307">
        <f t="shared" ca="1" si="15"/>
        <v>4.0920942453824569</v>
      </c>
      <c r="L30" s="304">
        <f t="shared" ca="1" si="0"/>
        <v>4.155214776118882</v>
      </c>
      <c r="M30" s="306">
        <f t="shared" ca="1" si="16"/>
        <v>1.3962634015954636</v>
      </c>
      <c r="N30" s="304">
        <f t="shared" ca="1" si="17"/>
        <v>80</v>
      </c>
      <c r="P30" s="310">
        <f t="shared" ca="1" si="18"/>
        <v>6</v>
      </c>
      <c r="Q30" s="304">
        <f t="shared" ca="1" si="19"/>
        <v>1316.89</v>
      </c>
      <c r="R30" s="306">
        <f t="shared" ca="1" si="20"/>
        <v>0.64716155378307627</v>
      </c>
      <c r="S30" s="307">
        <f t="shared" ca="1" si="21"/>
        <v>8.8006875968882454</v>
      </c>
      <c r="T30" s="304">
        <f t="shared" ca="1" si="1"/>
        <v>86.334745325473691</v>
      </c>
      <c r="U30" s="311">
        <f t="shared" ca="1" si="2"/>
        <v>0</v>
      </c>
      <c r="V30" s="306">
        <f t="shared" ca="1" si="3"/>
        <v>1.2244988209985261</v>
      </c>
      <c r="W30" s="304">
        <f t="shared" ca="1" si="4"/>
        <v>4.6045609286889375</v>
      </c>
      <c r="Y30" s="314" t="str">
        <f t="shared" ca="1" si="22"/>
        <v/>
      </c>
      <c r="Z30" s="315" t="str">
        <f t="shared" ca="1" si="23"/>
        <v/>
      </c>
      <c r="AA30" s="316" t="str">
        <f t="shared" ca="1" si="24"/>
        <v/>
      </c>
      <c r="AC30" s="310" t="e">
        <f t="shared" ca="1" si="25"/>
        <v>#N/A</v>
      </c>
      <c r="AD30" s="323" t="e">
        <f t="shared" ca="1" si="26"/>
        <v>#N/A</v>
      </c>
      <c r="AE30" s="324">
        <f t="shared" ca="1" si="5"/>
        <v>4.0920942453824569</v>
      </c>
      <c r="AG30" s="306">
        <f t="shared" ca="1" si="27"/>
        <v>139.49308231557799</v>
      </c>
      <c r="AH30" s="304">
        <f t="shared" ca="1" si="28"/>
        <v>149.15404637262776</v>
      </c>
    </row>
    <row r="31" spans="1:34" x14ac:dyDescent="0.2">
      <c r="A31" s="347">
        <f t="shared" ca="1" si="6"/>
        <v>0.01</v>
      </c>
      <c r="B31" s="304">
        <f t="shared" ca="1" si="7"/>
        <v>0.27000000000000007</v>
      </c>
      <c r="D31" s="306">
        <f t="shared" ca="1" si="8"/>
        <v>25.931788708840816</v>
      </c>
      <c r="E31" s="307">
        <f t="shared" ca="1" si="9"/>
        <v>137.25648185461665</v>
      </c>
      <c r="F31" s="304">
        <f t="shared" ca="1" si="10"/>
        <v>139.68464295242578</v>
      </c>
      <c r="G31" s="306">
        <f t="shared" ca="1" si="11"/>
        <v>6.1179490997021437</v>
      </c>
      <c r="H31" s="307">
        <f t="shared" ca="1" si="12"/>
        <v>34.600263121326137</v>
      </c>
      <c r="I31" s="304">
        <f t="shared" ca="1" si="13"/>
        <v>35.136982073757387</v>
      </c>
      <c r="J31" s="306">
        <f t="shared" ca="1" si="14"/>
        <v>0.78139140642099358</v>
      </c>
      <c r="K31" s="307">
        <f t="shared" ca="1" si="15"/>
        <v>4.4312340525029876</v>
      </c>
      <c r="L31" s="304">
        <f t="shared" ca="1" si="0"/>
        <v>4.4996008443072624</v>
      </c>
      <c r="M31" s="306">
        <f t="shared" ca="1" si="16"/>
        <v>1.3957872346695939</v>
      </c>
      <c r="N31" s="304">
        <f t="shared" ca="1" si="17"/>
        <v>79.97271764480395</v>
      </c>
      <c r="P31" s="310">
        <f t="shared" ca="1" si="18"/>
        <v>6</v>
      </c>
      <c r="Q31" s="304">
        <f t="shared" ca="1" si="19"/>
        <v>1317.89</v>
      </c>
      <c r="R31" s="306">
        <f t="shared" ca="1" si="20"/>
        <v>0.64765298553043793</v>
      </c>
      <c r="S31" s="307">
        <f t="shared" ca="1" si="21"/>
        <v>8.7942110670329416</v>
      </c>
      <c r="T31" s="304">
        <f t="shared" ca="1" si="1"/>
        <v>86.271210567593158</v>
      </c>
      <c r="U31" s="311">
        <f t="shared" ca="1" si="2"/>
        <v>0</v>
      </c>
      <c r="V31" s="306">
        <f t="shared" ca="1" si="3"/>
        <v>1.224457294071418</v>
      </c>
      <c r="W31" s="304">
        <f t="shared" ca="1" si="4"/>
        <v>4.9935130527937837</v>
      </c>
      <c r="Y31" s="314" t="str">
        <f t="shared" ca="1" si="22"/>
        <v/>
      </c>
      <c r="Z31" s="315" t="str">
        <f t="shared" ca="1" si="23"/>
        <v/>
      </c>
      <c r="AA31" s="316" t="str">
        <f t="shared" ca="1" si="24"/>
        <v/>
      </c>
      <c r="AC31" s="310" t="e">
        <f t="shared" ca="1" si="25"/>
        <v>#N/A</v>
      </c>
      <c r="AD31" s="323" t="e">
        <f t="shared" ca="1" si="26"/>
        <v>#N/A</v>
      </c>
      <c r="AE31" s="324">
        <f t="shared" ca="1" si="5"/>
        <v>4.4312340525029876</v>
      </c>
      <c r="AG31" s="306">
        <f t="shared" ca="1" si="27"/>
        <v>139.67425533454002</v>
      </c>
      <c r="AH31" s="304">
        <f t="shared" ca="1" si="28"/>
        <v>149.33521939158979</v>
      </c>
    </row>
    <row r="32" spans="1:34" x14ac:dyDescent="0.2">
      <c r="A32" s="347">
        <f t="shared" ca="1" si="6"/>
        <v>0.01</v>
      </c>
      <c r="B32" s="304">
        <f t="shared" ca="1" si="7"/>
        <v>0.28000000000000008</v>
      </c>
      <c r="D32" s="306">
        <f t="shared" ca="1" si="8"/>
        <v>26.033098854292817</v>
      </c>
      <c r="E32" s="307">
        <f t="shared" ca="1" si="9"/>
        <v>137.42105006968416</v>
      </c>
      <c r="F32" s="304">
        <f t="shared" ca="1" si="10"/>
        <v>139.86517521603446</v>
      </c>
      <c r="G32" s="306">
        <f t="shared" ca="1" si="11"/>
        <v>6.3782800882450719</v>
      </c>
      <c r="H32" s="307">
        <f t="shared" ca="1" si="12"/>
        <v>35.974473622022977</v>
      </c>
      <c r="I32" s="304">
        <f t="shared" ca="1" si="13"/>
        <v>36.535533515547989</v>
      </c>
      <c r="J32" s="306">
        <f t="shared" ca="1" si="14"/>
        <v>0.84387255236072967</v>
      </c>
      <c r="K32" s="307">
        <f t="shared" ca="1" si="15"/>
        <v>4.7841077362197328</v>
      </c>
      <c r="L32" s="304">
        <f t="shared" ca="1" si="0"/>
        <v>4.8579633300782854</v>
      </c>
      <c r="M32" s="306">
        <f t="shared" ca="1" si="16"/>
        <v>1.3953197202913872</v>
      </c>
      <c r="N32" s="304">
        <f t="shared" ca="1" si="17"/>
        <v>79.945931044071017</v>
      </c>
      <c r="P32" s="310">
        <f t="shared" ca="1" si="18"/>
        <v>6</v>
      </c>
      <c r="Q32" s="304">
        <f t="shared" ca="1" si="19"/>
        <v>1318.89</v>
      </c>
      <c r="R32" s="306">
        <f t="shared" ca="1" si="20"/>
        <v>0.64814441727779959</v>
      </c>
      <c r="S32" s="307">
        <f t="shared" ca="1" si="21"/>
        <v>8.787729622860164</v>
      </c>
      <c r="T32" s="304">
        <f t="shared" ca="1" si="1"/>
        <v>86.207627600258206</v>
      </c>
      <c r="U32" s="311">
        <f t="shared" ca="1" si="2"/>
        <v>0</v>
      </c>
      <c r="V32" s="306">
        <f t="shared" ca="1" si="3"/>
        <v>1.2244140869558695</v>
      </c>
      <c r="W32" s="304">
        <f t="shared" ca="1" si="4"/>
        <v>5.3987455282760495</v>
      </c>
      <c r="Y32" s="314" t="str">
        <f t="shared" ca="1" si="22"/>
        <v/>
      </c>
      <c r="Z32" s="315" t="str">
        <f t="shared" ca="1" si="23"/>
        <v/>
      </c>
      <c r="AA32" s="316" t="str">
        <f t="shared" ca="1" si="24"/>
        <v/>
      </c>
      <c r="AC32" s="310" t="e">
        <f t="shared" ca="1" si="25"/>
        <v>#N/A</v>
      </c>
      <c r="AD32" s="323" t="e">
        <f t="shared" ca="1" si="26"/>
        <v>#N/A</v>
      </c>
      <c r="AE32" s="324">
        <f t="shared" ca="1" si="5"/>
        <v>4.7841077362197328</v>
      </c>
      <c r="AG32" s="306">
        <f t="shared" ca="1" si="27"/>
        <v>139.85474490104937</v>
      </c>
      <c r="AH32" s="304">
        <f t="shared" ca="1" si="28"/>
        <v>149.51489671794991</v>
      </c>
    </row>
    <row r="33" spans="1:34" x14ac:dyDescent="0.2">
      <c r="A33" s="347">
        <f t="shared" ca="1" si="6"/>
        <v>0.01</v>
      </c>
      <c r="B33" s="304">
        <f t="shared" ca="1" si="7"/>
        <v>0.29000000000000009</v>
      </c>
      <c r="D33" s="306">
        <f t="shared" ca="1" si="8"/>
        <v>26.133033513117457</v>
      </c>
      <c r="E33" s="307">
        <f t="shared" ca="1" si="9"/>
        <v>137.58429936820994</v>
      </c>
      <c r="F33" s="304">
        <f t="shared" ca="1" si="10"/>
        <v>140.04418900203942</v>
      </c>
      <c r="G33" s="306">
        <f t="shared" ca="1" si="11"/>
        <v>6.6396104233762463</v>
      </c>
      <c r="H33" s="307">
        <f t="shared" ca="1" si="12"/>
        <v>37.350316615705076</v>
      </c>
      <c r="I33" s="304">
        <f t="shared" ca="1" si="13"/>
        <v>37.935874549924655</v>
      </c>
      <c r="J33" s="306">
        <f t="shared" ca="1" si="14"/>
        <v>0.90896200491883627</v>
      </c>
      <c r="K33" s="307">
        <f t="shared" ca="1" si="15"/>
        <v>5.1507316874083733</v>
      </c>
      <c r="L33" s="304">
        <f t="shared" ca="1" si="0"/>
        <v>5.2303201471859042</v>
      </c>
      <c r="M33" s="306">
        <f t="shared" ca="1" si="16"/>
        <v>1.3948682729970507</v>
      </c>
      <c r="N33" s="304">
        <f t="shared" ca="1" si="17"/>
        <v>79.92006501943294</v>
      </c>
      <c r="P33" s="310">
        <f t="shared" ca="1" si="18"/>
        <v>6</v>
      </c>
      <c r="Q33" s="304">
        <f t="shared" ca="1" si="19"/>
        <v>1319.89</v>
      </c>
      <c r="R33" s="306">
        <f t="shared" ca="1" si="20"/>
        <v>0.64863584902516114</v>
      </c>
      <c r="S33" s="307">
        <f t="shared" ca="1" si="21"/>
        <v>8.7812432643699125</v>
      </c>
      <c r="T33" s="304">
        <f t="shared" ca="1" si="1"/>
        <v>86.143996423468849</v>
      </c>
      <c r="U33" s="311">
        <f t="shared" ca="1" si="2"/>
        <v>0</v>
      </c>
      <c r="V33" s="306">
        <f t="shared" ca="1" si="3"/>
        <v>1.2243691978229307</v>
      </c>
      <c r="W33" s="304">
        <f t="shared" ca="1" si="4"/>
        <v>5.8203115047888465</v>
      </c>
      <c r="Y33" s="314" t="str">
        <f t="shared" ca="1" si="22"/>
        <v/>
      </c>
      <c r="Z33" s="315" t="str">
        <f t="shared" ca="1" si="23"/>
        <v/>
      </c>
      <c r="AA33" s="316" t="str">
        <f t="shared" ca="1" si="24"/>
        <v/>
      </c>
      <c r="AC33" s="310" t="e">
        <f t="shared" ca="1" si="25"/>
        <v>#N/A</v>
      </c>
      <c r="AD33" s="323" t="e">
        <f t="shared" ca="1" si="26"/>
        <v>#N/A</v>
      </c>
      <c r="AE33" s="324">
        <f t="shared" ca="1" si="5"/>
        <v>5.1507316874083733</v>
      </c>
      <c r="AG33" s="306">
        <f t="shared" ca="1" si="27"/>
        <v>140.0337168622732</v>
      </c>
      <c r="AH33" s="304">
        <f t="shared" ca="1" si="28"/>
        <v>149.69306906748628</v>
      </c>
    </row>
    <row r="34" spans="1:34" x14ac:dyDescent="0.2">
      <c r="A34" s="347">
        <f t="shared" ca="1" si="6"/>
        <v>0.01</v>
      </c>
      <c r="B34" s="304">
        <f t="shared" ca="1" si="7"/>
        <v>0.3000000000000001</v>
      </c>
      <c r="D34" s="306">
        <f t="shared" ca="1" si="8"/>
        <v>26.230490680232283</v>
      </c>
      <c r="E34" s="307">
        <f t="shared" ca="1" si="9"/>
        <v>137.7464181360192</v>
      </c>
      <c r="F34" s="304">
        <f t="shared" ca="1" si="10"/>
        <v>140.22166148861876</v>
      </c>
      <c r="G34" s="306">
        <f t="shared" ca="1" si="11"/>
        <v>6.9019153301785687</v>
      </c>
      <c r="H34" s="307">
        <f t="shared" ca="1" si="12"/>
        <v>38.727780797065265</v>
      </c>
      <c r="I34" s="304">
        <f t="shared" ca="1" si="13"/>
        <v>39.337989789648518</v>
      </c>
      <c r="J34" s="306">
        <f t="shared" ca="1" si="14"/>
        <v>0.97666963368661031</v>
      </c>
      <c r="K34" s="307">
        <f t="shared" ca="1" si="15"/>
        <v>5.531122174472225</v>
      </c>
      <c r="L34" s="304">
        <f t="shared" ca="1" si="0"/>
        <v>5.6166890676183856</v>
      </c>
      <c r="M34" s="306">
        <f t="shared" ca="1" si="16"/>
        <v>1.394431808065401</v>
      </c>
      <c r="N34" s="304">
        <f t="shared" ca="1" si="17"/>
        <v>79.895057420943942</v>
      </c>
      <c r="P34" s="310">
        <f t="shared" ca="1" si="18"/>
        <v>6</v>
      </c>
      <c r="Q34" s="304">
        <f t="shared" ca="1" si="19"/>
        <v>1320.89</v>
      </c>
      <c r="R34" s="306">
        <f t="shared" ca="1" si="20"/>
        <v>0.6491272807725228</v>
      </c>
      <c r="S34" s="307">
        <f t="shared" ca="1" si="21"/>
        <v>8.7747519915621872</v>
      </c>
      <c r="T34" s="304">
        <f t="shared" ca="1" si="1"/>
        <v>86.080317037225058</v>
      </c>
      <c r="U34" s="311">
        <f t="shared" ca="1" si="2"/>
        <v>0</v>
      </c>
      <c r="V34" s="306">
        <f t="shared" ca="1" si="3"/>
        <v>1.2243226248658587</v>
      </c>
      <c r="W34" s="304">
        <f t="shared" ca="1" si="4"/>
        <v>6.2582633475527567</v>
      </c>
      <c r="Y34" s="314" t="str">
        <f t="shared" ca="1" si="22"/>
        <v/>
      </c>
      <c r="Z34" s="315" t="str">
        <f t="shared" ca="1" si="23"/>
        <v/>
      </c>
      <c r="AA34" s="316" t="str">
        <f t="shared" ca="1" si="24"/>
        <v/>
      </c>
      <c r="AC34" s="310" t="e">
        <f t="shared" ca="1" si="25"/>
        <v>#N/A</v>
      </c>
      <c r="AD34" s="323" t="e">
        <f t="shared" ca="1" si="26"/>
        <v>#N/A</v>
      </c>
      <c r="AE34" s="324">
        <f t="shared" ca="1" si="5"/>
        <v>5.531122174472225</v>
      </c>
      <c r="AG34" s="306">
        <f t="shared" ca="1" si="27"/>
        <v>140.21114927482077</v>
      </c>
      <c r="AH34" s="304">
        <f t="shared" ca="1" si="28"/>
        <v>149.86972734497613</v>
      </c>
    </row>
    <row r="35" spans="1:34" x14ac:dyDescent="0.2">
      <c r="A35" s="347">
        <f t="shared" ca="1" si="6"/>
        <v>0.01</v>
      </c>
      <c r="B35" s="304">
        <f t="shared" ca="1" si="7"/>
        <v>0.31000000000000011</v>
      </c>
      <c r="D35" s="306">
        <f t="shared" ca="1" si="8"/>
        <v>26.325619136315609</v>
      </c>
      <c r="E35" s="307">
        <f t="shared" ca="1" si="9"/>
        <v>137.90737387162056</v>
      </c>
      <c r="F35" s="304">
        <f t="shared" ca="1" si="10"/>
        <v>140.39758541754654</v>
      </c>
      <c r="G35" s="306">
        <f t="shared" ca="1" si="11"/>
        <v>7.1651715215417244</v>
      </c>
      <c r="H35" s="307">
        <f t="shared" ca="1" si="12"/>
        <v>40.106854535781473</v>
      </c>
      <c r="I35" s="304">
        <f t="shared" ca="1" si="13"/>
        <v>40.741863772874304</v>
      </c>
      <c r="J35" s="306">
        <f t="shared" ca="1" si="14"/>
        <v>1.0470050679452119</v>
      </c>
      <c r="K35" s="307">
        <f t="shared" ca="1" si="15"/>
        <v>5.9252953511364588</v>
      </c>
      <c r="L35" s="304">
        <f t="shared" ca="1" si="0"/>
        <v>6.0170877183652793</v>
      </c>
      <c r="M35" s="306">
        <f t="shared" ca="1" si="16"/>
        <v>1.3940093480680635</v>
      </c>
      <c r="N35" s="304">
        <f t="shared" ca="1" si="17"/>
        <v>79.870852246083402</v>
      </c>
      <c r="P35" s="310">
        <f t="shared" ca="1" si="18"/>
        <v>6</v>
      </c>
      <c r="Q35" s="304">
        <f t="shared" ca="1" si="19"/>
        <v>1321.89</v>
      </c>
      <c r="R35" s="306">
        <f t="shared" ca="1" si="20"/>
        <v>0.64961871251988446</v>
      </c>
      <c r="S35" s="307">
        <f t="shared" ca="1" si="21"/>
        <v>8.768255804436988</v>
      </c>
      <c r="T35" s="304">
        <f t="shared" ca="1" si="1"/>
        <v>86.016589441526861</v>
      </c>
      <c r="U35" s="311">
        <f t="shared" ca="1" si="2"/>
        <v>0</v>
      </c>
      <c r="V35" s="306">
        <f t="shared" ca="1" si="3"/>
        <v>1.2242743662991857</v>
      </c>
      <c r="W35" s="304">
        <f t="shared" ca="1" si="4"/>
        <v>6.7126526297245306</v>
      </c>
      <c r="Y35" s="314" t="str">
        <f t="shared" ca="1" si="22"/>
        <v/>
      </c>
      <c r="Z35" s="315" t="str">
        <f t="shared" ca="1" si="23"/>
        <v/>
      </c>
      <c r="AA35" s="316" t="str">
        <f t="shared" ca="1" si="24"/>
        <v/>
      </c>
      <c r="AC35" s="310" t="e">
        <f t="shared" ca="1" si="25"/>
        <v>#N/A</v>
      </c>
      <c r="AD35" s="323" t="e">
        <f t="shared" ca="1" si="26"/>
        <v>#N/A</v>
      </c>
      <c r="AE35" s="324">
        <f t="shared" ca="1" si="5"/>
        <v>5.9252953511364588</v>
      </c>
      <c r="AG35" s="306">
        <f t="shared" ca="1" si="27"/>
        <v>140.38703475757268</v>
      </c>
      <c r="AH35" s="304">
        <f t="shared" ca="1" si="28"/>
        <v>150.04486251264478</v>
      </c>
    </row>
    <row r="36" spans="1:34" x14ac:dyDescent="0.2">
      <c r="A36" s="347">
        <f t="shared" ca="1" si="6"/>
        <v>0.01</v>
      </c>
      <c r="B36" s="304">
        <f t="shared" ca="1" si="7"/>
        <v>0.32000000000000012</v>
      </c>
      <c r="D36" s="306">
        <f t="shared" ca="1" si="8"/>
        <v>26.418552613696928</v>
      </c>
      <c r="E36" s="307">
        <f t="shared" ca="1" si="9"/>
        <v>138.06713644228947</v>
      </c>
      <c r="F36" s="304">
        <f t="shared" ca="1" si="10"/>
        <v>140.57195341737432</v>
      </c>
      <c r="G36" s="306">
        <f t="shared" ca="1" si="11"/>
        <v>7.4293570476786934</v>
      </c>
      <c r="H36" s="307">
        <f t="shared" ca="1" si="12"/>
        <v>41.487525900204368</v>
      </c>
      <c r="I36" s="304">
        <f t="shared" ca="1" si="13"/>
        <v>42.147480962235704</v>
      </c>
      <c r="J36" s="306">
        <f t="shared" ca="1" si="14"/>
        <v>1.119977710791314</v>
      </c>
      <c r="K36" s="307">
        <f t="shared" ca="1" si="15"/>
        <v>6.3332672533163876</v>
      </c>
      <c r="L36" s="304">
        <f t="shared" ca="1" si="0"/>
        <v>6.4315335787507992</v>
      </c>
      <c r="M36" s="306">
        <f t="shared" ca="1" si="16"/>
        <v>1.393600009095515</v>
      </c>
      <c r="N36" s="304">
        <f t="shared" ca="1" si="17"/>
        <v>79.847398850566151</v>
      </c>
      <c r="P36" s="310">
        <f t="shared" ca="1" si="18"/>
        <v>6</v>
      </c>
      <c r="Q36" s="304">
        <f t="shared" ca="1" si="19"/>
        <v>1322.89</v>
      </c>
      <c r="R36" s="306">
        <f t="shared" ca="1" si="20"/>
        <v>0.65011014426724612</v>
      </c>
      <c r="S36" s="307">
        <f t="shared" ca="1" si="21"/>
        <v>8.761754702994315</v>
      </c>
      <c r="T36" s="304">
        <f t="shared" ca="1" si="1"/>
        <v>85.952813636374231</v>
      </c>
      <c r="U36" s="311">
        <f t="shared" ca="1" si="2"/>
        <v>0</v>
      </c>
      <c r="V36" s="306">
        <f t="shared" ca="1" si="3"/>
        <v>1.2242244203591257</v>
      </c>
      <c r="W36" s="304">
        <f t="shared" ca="1" si="4"/>
        <v>7.1835301248090957</v>
      </c>
      <c r="Y36" s="314" t="str">
        <f t="shared" ca="1" si="22"/>
        <v/>
      </c>
      <c r="Z36" s="315" t="str">
        <f t="shared" ca="1" si="23"/>
        <v/>
      </c>
      <c r="AA36" s="316" t="str">
        <f t="shared" ca="1" si="24"/>
        <v/>
      </c>
      <c r="AC36" s="310" t="e">
        <f t="shared" ca="1" si="25"/>
        <v>#N/A</v>
      </c>
      <c r="AD36" s="323" t="e">
        <f t="shared" ca="1" si="26"/>
        <v>#N/A</v>
      </c>
      <c r="AE36" s="324">
        <f t="shared" ca="1" si="5"/>
        <v>6.3332672533163876</v>
      </c>
      <c r="AG36" s="306">
        <f t="shared" ca="1" si="27"/>
        <v>140.56136582793334</v>
      </c>
      <c r="AH36" s="304">
        <f t="shared" ca="1" si="28"/>
        <v>150.21846559119876</v>
      </c>
    </row>
    <row r="37" spans="1:34" x14ac:dyDescent="0.2">
      <c r="A37" s="347">
        <f t="shared" ca="1" si="6"/>
        <v>0.01</v>
      </c>
      <c r="B37" s="304">
        <f t="shared" ca="1" si="7"/>
        <v>0.33000000000000013</v>
      </c>
      <c r="D37" s="306">
        <f t="shared" ca="1" si="8"/>
        <v>26.509411738804275</v>
      </c>
      <c r="E37" s="307">
        <f t="shared" ca="1" si="9"/>
        <v>138.22567779212613</v>
      </c>
      <c r="F37" s="304">
        <f t="shared" ca="1" si="10"/>
        <v>140.74475802611664</v>
      </c>
      <c r="G37" s="306">
        <f t="shared" ca="1" si="11"/>
        <v>7.6944511650667362</v>
      </c>
      <c r="H37" s="307">
        <f t="shared" ca="1" si="12"/>
        <v>42.869782678125631</v>
      </c>
      <c r="I37" s="304">
        <f t="shared" ca="1" si="13"/>
        <v>43.554825744127569</v>
      </c>
      <c r="J37" s="306">
        <f t="shared" ca="1" si="14"/>
        <v>1.1955967518550412</v>
      </c>
      <c r="K37" s="307">
        <f t="shared" ca="1" si="15"/>
        <v>6.7550537962080375</v>
      </c>
      <c r="L37" s="304">
        <f t="shared" ca="1" si="0"/>
        <v>6.8600439781907339</v>
      </c>
      <c r="M37" s="306">
        <f t="shared" ca="1" si="16"/>
        <v>1.3932029891314563</v>
      </c>
      <c r="N37" s="304">
        <f t="shared" ca="1" si="17"/>
        <v>79.824651282243153</v>
      </c>
      <c r="P37" s="310">
        <f t="shared" ca="1" si="18"/>
        <v>6</v>
      </c>
      <c r="Q37" s="304">
        <f t="shared" ca="1" si="19"/>
        <v>1323.89</v>
      </c>
      <c r="R37" s="306">
        <f t="shared" ca="1" si="20"/>
        <v>0.65060157601460777</v>
      </c>
      <c r="S37" s="307">
        <f t="shared" ca="1" si="21"/>
        <v>8.7552486872341682</v>
      </c>
      <c r="T37" s="304">
        <f t="shared" ca="1" si="1"/>
        <v>85.888989621767195</v>
      </c>
      <c r="U37" s="311">
        <f t="shared" ca="1" si="2"/>
        <v>0</v>
      </c>
      <c r="V37" s="306">
        <f t="shared" ca="1" si="3"/>
        <v>1.224172785303953</v>
      </c>
      <c r="W37" s="304">
        <f t="shared" ca="1" si="4"/>
        <v>7.6709457991004593</v>
      </c>
      <c r="Y37" s="314" t="str">
        <f t="shared" ca="1" si="22"/>
        <v/>
      </c>
      <c r="Z37" s="315" t="str">
        <f t="shared" ca="1" si="23"/>
        <v/>
      </c>
      <c r="AA37" s="316" t="str">
        <f t="shared" ca="1" si="24"/>
        <v/>
      </c>
      <c r="AC37" s="310" t="e">
        <f t="shared" ca="1" si="25"/>
        <v>#N/A</v>
      </c>
      <c r="AD37" s="323" t="e">
        <f t="shared" ca="1" si="26"/>
        <v>#N/A</v>
      </c>
      <c r="AE37" s="324">
        <f t="shared" ca="1" si="5"/>
        <v>6.7550537962080375</v>
      </c>
      <c r="AG37" s="306">
        <f t="shared" ca="1" si="27"/>
        <v>140.73413492304235</v>
      </c>
      <c r="AH37" s="304">
        <f t="shared" ca="1" si="28"/>
        <v>150.39052766085916</v>
      </c>
    </row>
    <row r="38" spans="1:34" x14ac:dyDescent="0.2">
      <c r="A38" s="347">
        <f t="shared" ca="1" si="6"/>
        <v>0.01</v>
      </c>
      <c r="B38" s="304">
        <f t="shared" ca="1" si="7"/>
        <v>0.34000000000000014</v>
      </c>
      <c r="D38" s="306">
        <f t="shared" ca="1" si="8"/>
        <v>26.598305670849175</v>
      </c>
      <c r="E38" s="307">
        <f t="shared" ca="1" si="9"/>
        <v>138.38297169530745</v>
      </c>
      <c r="F38" s="304">
        <f t="shared" ca="1" si="10"/>
        <v>140.91599171060818</v>
      </c>
      <c r="G38" s="306">
        <f t="shared" ca="1" si="11"/>
        <v>7.9604342217752277</v>
      </c>
      <c r="H38" s="307">
        <f t="shared" ca="1" si="12"/>
        <v>44.253612395078704</v>
      </c>
      <c r="I38" s="304">
        <f t="shared" ca="1" si="13"/>
        <v>44.963882428156424</v>
      </c>
      <c r="J38" s="306">
        <f t="shared" ca="1" si="14"/>
        <v>1.2738711787892512</v>
      </c>
      <c r="K38" s="307">
        <f t="shared" ca="1" si="15"/>
        <v>7.1906707715740588</v>
      </c>
      <c r="L38" s="304">
        <f t="shared" ca="1" si="0"/>
        <v>7.302636094268931</v>
      </c>
      <c r="M38" s="306">
        <f t="shared" ca="1" si="16"/>
        <v>1.3928175581848039</v>
      </c>
      <c r="N38" s="304">
        <f t="shared" ca="1" si="17"/>
        <v>79.802567715706232</v>
      </c>
      <c r="P38" s="310">
        <f t="shared" ca="1" si="18"/>
        <v>6</v>
      </c>
      <c r="Q38" s="304">
        <f t="shared" ca="1" si="19"/>
        <v>1324.89</v>
      </c>
      <c r="R38" s="306">
        <f t="shared" ca="1" si="20"/>
        <v>0.65109300776196943</v>
      </c>
      <c r="S38" s="307">
        <f t="shared" ca="1" si="21"/>
        <v>8.7487377571565492</v>
      </c>
      <c r="T38" s="304">
        <f t="shared" ca="1" si="1"/>
        <v>85.825117397705753</v>
      </c>
      <c r="U38" s="311">
        <f t="shared" ca="1" si="2"/>
        <v>0</v>
      </c>
      <c r="V38" s="306">
        <f t="shared" ca="1" si="3"/>
        <v>1.2241194594143547</v>
      </c>
      <c r="W38" s="304">
        <f t="shared" ca="1" si="4"/>
        <v>8.1749488041572747</v>
      </c>
      <c r="Y38" s="314" t="str">
        <f t="shared" ca="1" si="22"/>
        <v/>
      </c>
      <c r="Z38" s="315" t="str">
        <f t="shared" ca="1" si="23"/>
        <v/>
      </c>
      <c r="AA38" s="316" t="str">
        <f t="shared" ca="1" si="24"/>
        <v/>
      </c>
      <c r="AC38" s="310" t="e">
        <f t="shared" ca="1" si="25"/>
        <v>#N/A</v>
      </c>
      <c r="AD38" s="323" t="e">
        <f t="shared" ca="1" si="26"/>
        <v>#N/A</v>
      </c>
      <c r="AE38" s="324">
        <f t="shared" ca="1" si="5"/>
        <v>7.1906707715740588</v>
      </c>
      <c r="AG38" s="306">
        <f t="shared" ca="1" si="27"/>
        <v>140.90533441788281</v>
      </c>
      <c r="AH38" s="304">
        <f t="shared" ca="1" si="28"/>
        <v>150.5610398623964</v>
      </c>
    </row>
    <row r="39" spans="1:34" x14ac:dyDescent="0.2">
      <c r="A39" s="347">
        <f t="shared" ca="1" si="6"/>
        <v>0.01</v>
      </c>
      <c r="B39" s="304">
        <f t="shared" ca="1" si="7"/>
        <v>0.35000000000000014</v>
      </c>
      <c r="D39" s="306">
        <f t="shared" ca="1" si="8"/>
        <v>26.685333492095367</v>
      </c>
      <c r="E39" s="307">
        <f t="shared" ca="1" si="9"/>
        <v>138.5389935463906</v>
      </c>
      <c r="F39" s="304">
        <f t="shared" ca="1" si="10"/>
        <v>141.08564688312984</v>
      </c>
      <c r="G39" s="306">
        <f t="shared" ca="1" si="11"/>
        <v>8.2272875566961812</v>
      </c>
      <c r="H39" s="307">
        <f t="shared" ca="1" si="12"/>
        <v>45.63900233054261</v>
      </c>
      <c r="I39" s="304">
        <f t="shared" ca="1" si="13"/>
        <v>46.374635246736354</v>
      </c>
      <c r="J39" s="306">
        <f t="shared" ca="1" si="14"/>
        <v>1.3548097876816083</v>
      </c>
      <c r="K39" s="307">
        <f t="shared" ca="1" si="15"/>
        <v>7.6401338452021657</v>
      </c>
      <c r="L39" s="304">
        <f t="shared" ca="1" si="0"/>
        <v>7.7593269510571279</v>
      </c>
      <c r="M39" s="306">
        <f t="shared" ca="1" si="16"/>
        <v>1.392443049869156</v>
      </c>
      <c r="N39" s="304">
        <f t="shared" ca="1" si="17"/>
        <v>79.781109969827057</v>
      </c>
      <c r="P39" s="310">
        <f t="shared" ca="1" si="18"/>
        <v>6</v>
      </c>
      <c r="Q39" s="304">
        <f t="shared" ca="1" si="19"/>
        <v>1325.89</v>
      </c>
      <c r="R39" s="306">
        <f t="shared" ca="1" si="20"/>
        <v>0.65158443950933109</v>
      </c>
      <c r="S39" s="307">
        <f t="shared" ca="1" si="21"/>
        <v>8.7422219127614564</v>
      </c>
      <c r="T39" s="304">
        <f t="shared" ca="1" si="1"/>
        <v>85.761196964189892</v>
      </c>
      <c r="U39" s="311">
        <f t="shared" ca="1" si="2"/>
        <v>0</v>
      </c>
      <c r="V39" s="306">
        <f t="shared" ca="1" si="3"/>
        <v>1.2240644409937644</v>
      </c>
      <c r="W39" s="304">
        <f t="shared" ca="1" si="4"/>
        <v>8.695587469318296</v>
      </c>
      <c r="Y39" s="314" t="str">
        <f t="shared" ca="1" si="22"/>
        <v/>
      </c>
      <c r="Z39" s="315" t="str">
        <f t="shared" ca="1" si="23"/>
        <v/>
      </c>
      <c r="AA39" s="316" t="str">
        <f t="shared" ca="1" si="24"/>
        <v/>
      </c>
      <c r="AC39" s="310" t="e">
        <f t="shared" ca="1" si="25"/>
        <v>#N/A</v>
      </c>
      <c r="AD39" s="323" t="e">
        <f t="shared" ca="1" si="26"/>
        <v>#N/A</v>
      </c>
      <c r="AE39" s="324">
        <f t="shared" ca="1" si="5"/>
        <v>7.6401338452021657</v>
      </c>
      <c r="AG39" s="306">
        <f t="shared" ca="1" si="27"/>
        <v>141.07495664084547</v>
      </c>
      <c r="AH39" s="304">
        <f t="shared" ca="1" si="28"/>
        <v>150.72999339816673</v>
      </c>
    </row>
    <row r="40" spans="1:34" x14ac:dyDescent="0.2">
      <c r="A40" s="347">
        <f t="shared" ca="1" si="6"/>
        <v>0.01</v>
      </c>
      <c r="B40" s="304">
        <f t="shared" ca="1" si="7"/>
        <v>0.36000000000000015</v>
      </c>
      <c r="D40" s="306">
        <f t="shared" ca="1" si="8"/>
        <v>26.770585393628636</v>
      </c>
      <c r="E40" s="307">
        <f t="shared" ca="1" si="9"/>
        <v>138.69372018119145</v>
      </c>
      <c r="F40" s="304">
        <f t="shared" ca="1" si="10"/>
        <v>141.2537159157811</v>
      </c>
      <c r="G40" s="306">
        <f t="shared" ca="1" si="11"/>
        <v>8.4949934106324676</v>
      </c>
      <c r="H40" s="307">
        <f t="shared" ca="1" si="12"/>
        <v>47.025939532354528</v>
      </c>
      <c r="I40" s="304">
        <f t="shared" ca="1" si="13"/>
        <v>47.787068354810735</v>
      </c>
      <c r="J40" s="306">
        <f t="shared" ca="1" si="14"/>
        <v>1.4384211925182515</v>
      </c>
      <c r="K40" s="307">
        <f t="shared" ca="1" si="15"/>
        <v>8.1034585545166511</v>
      </c>
      <c r="L40" s="304">
        <f t="shared" ca="1" si="0"/>
        <v>8.2301334176217775</v>
      </c>
      <c r="M40" s="306">
        <f t="shared" ca="1" si="16"/>
        <v>1.3920788541817097</v>
      </c>
      <c r="N40" s="304">
        <f t="shared" ca="1" si="17"/>
        <v>79.760243094019515</v>
      </c>
      <c r="P40" s="310">
        <f t="shared" ca="1" si="18"/>
        <v>6</v>
      </c>
      <c r="Q40" s="304">
        <f t="shared" ca="1" si="19"/>
        <v>1326.89</v>
      </c>
      <c r="R40" s="306">
        <f t="shared" ca="1" si="20"/>
        <v>0.65207587125669264</v>
      </c>
      <c r="S40" s="307">
        <f t="shared" ca="1" si="21"/>
        <v>8.7357011540488898</v>
      </c>
      <c r="T40" s="304">
        <f t="shared" ca="1" si="1"/>
        <v>85.697228321219612</v>
      </c>
      <c r="U40" s="311">
        <f t="shared" ca="1" si="2"/>
        <v>0</v>
      </c>
      <c r="V40" s="306">
        <f t="shared" ca="1" si="3"/>
        <v>1.2240077283686737</v>
      </c>
      <c r="W40" s="304">
        <f t="shared" ca="1" si="4"/>
        <v>9.2329092942623419</v>
      </c>
      <c r="Y40" s="314" t="str">
        <f t="shared" ca="1" si="22"/>
        <v/>
      </c>
      <c r="Z40" s="315" t="str">
        <f t="shared" ca="1" si="23"/>
        <v/>
      </c>
      <c r="AA40" s="316" t="str">
        <f t="shared" ca="1" si="24"/>
        <v/>
      </c>
      <c r="AC40" s="310" t="e">
        <f t="shared" ca="1" si="25"/>
        <v>#N/A</v>
      </c>
      <c r="AD40" s="323" t="e">
        <f t="shared" ca="1" si="26"/>
        <v>#N/A</v>
      </c>
      <c r="AE40" s="324">
        <f t="shared" ca="1" si="5"/>
        <v>8.1034585545166511</v>
      </c>
      <c r="AG40" s="306">
        <f t="shared" ca="1" si="27"/>
        <v>141.24299388719101</v>
      </c>
      <c r="AH40" s="304">
        <f t="shared" ca="1" si="28"/>
        <v>150.89737953314886</v>
      </c>
    </row>
    <row r="41" spans="1:34" x14ac:dyDescent="0.2">
      <c r="A41" s="347">
        <f t="shared" ca="1" si="6"/>
        <v>0.01</v>
      </c>
      <c r="B41" s="304">
        <f t="shared" ca="1" si="7"/>
        <v>0.37000000000000016</v>
      </c>
      <c r="D41" s="306">
        <f t="shared" ca="1" si="8"/>
        <v>26.854143691737722</v>
      </c>
      <c r="E41" s="307">
        <f t="shared" ca="1" si="9"/>
        <v>138.84712972304678</v>
      </c>
      <c r="F41" s="304">
        <f t="shared" ca="1" si="10"/>
        <v>141.42019115297884</v>
      </c>
      <c r="G41" s="306">
        <f t="shared" ca="1" si="11"/>
        <v>8.7635348475498454</v>
      </c>
      <c r="H41" s="307">
        <f t="shared" ca="1" si="12"/>
        <v>48.414410829584995</v>
      </c>
      <c r="I41" s="304">
        <f t="shared" ca="1" si="13"/>
        <v>49.20116582968393</v>
      </c>
      <c r="J41" s="306">
        <f t="shared" ca="1" si="14"/>
        <v>1.524713833809163</v>
      </c>
      <c r="K41" s="307">
        <f t="shared" ca="1" si="15"/>
        <v>8.5806603063263491</v>
      </c>
      <c r="L41" s="304">
        <f t="shared" ca="1" si="0"/>
        <v>8.7150722066758366</v>
      </c>
      <c r="M41" s="306">
        <f t="shared" ca="1" si="16"/>
        <v>1.3917244112818712</v>
      </c>
      <c r="N41" s="304">
        <f t="shared" ca="1" si="17"/>
        <v>79.739935011780389</v>
      </c>
      <c r="P41" s="310">
        <f t="shared" ca="1" si="18"/>
        <v>6</v>
      </c>
      <c r="Q41" s="304">
        <f t="shared" ca="1" si="19"/>
        <v>1327.89</v>
      </c>
      <c r="R41" s="306">
        <f t="shared" ca="1" si="20"/>
        <v>0.6525673030040543</v>
      </c>
      <c r="S41" s="307">
        <f t="shared" ca="1" si="21"/>
        <v>8.7291754810188493</v>
      </c>
      <c r="T41" s="304">
        <f t="shared" ca="1" si="1"/>
        <v>85.633211468794912</v>
      </c>
      <c r="U41" s="311">
        <f t="shared" ca="1" si="2"/>
        <v>0</v>
      </c>
      <c r="V41" s="306">
        <f t="shared" ca="1" si="3"/>
        <v>1.2239493198889313</v>
      </c>
      <c r="W41" s="304">
        <f t="shared" ca="1" si="4"/>
        <v>9.7869609416170107</v>
      </c>
      <c r="Y41" s="314" t="str">
        <f t="shared" ca="1" si="22"/>
        <v/>
      </c>
      <c r="Z41" s="315" t="str">
        <f t="shared" ca="1" si="23"/>
        <v/>
      </c>
      <c r="AA41" s="316" t="str">
        <f t="shared" ca="1" si="24"/>
        <v/>
      </c>
      <c r="AC41" s="310" t="e">
        <f t="shared" ca="1" si="25"/>
        <v>#N/A</v>
      </c>
      <c r="AD41" s="323" t="e">
        <f t="shared" ca="1" si="26"/>
        <v>#N/A</v>
      </c>
      <c r="AE41" s="324">
        <f t="shared" ca="1" si="5"/>
        <v>8.5806603063263491</v>
      </c>
      <c r="AG41" s="306">
        <f t="shared" ca="1" si="27"/>
        <v>141.40943843076721</v>
      </c>
      <c r="AH41" s="304">
        <f t="shared" ca="1" si="28"/>
        <v>151.06318959598084</v>
      </c>
    </row>
    <row r="42" spans="1:34" x14ac:dyDescent="0.2">
      <c r="A42" s="347">
        <f t="shared" ca="1" si="6"/>
        <v>0.01</v>
      </c>
      <c r="B42" s="304">
        <f t="shared" ca="1" si="7"/>
        <v>0.38000000000000017</v>
      </c>
      <c r="D42" s="306">
        <f t="shared" ca="1" si="8"/>
        <v>26.936083703173392</v>
      </c>
      <c r="E42" s="307">
        <f t="shared" ca="1" si="9"/>
        <v>138.99920145027232</v>
      </c>
      <c r="F42" s="304">
        <f t="shared" ca="1" si="10"/>
        <v>141.58506492239127</v>
      </c>
      <c r="G42" s="306">
        <f t="shared" ca="1" si="11"/>
        <v>9.0328956845815789</v>
      </c>
      <c r="H42" s="307">
        <f t="shared" ca="1" si="12"/>
        <v>49.804402844087718</v>
      </c>
      <c r="I42" s="304">
        <f t="shared" ca="1" si="13"/>
        <v>50.61691167094952</v>
      </c>
      <c r="J42" s="306">
        <f t="shared" ca="1" si="14"/>
        <v>1.6136959864698202</v>
      </c>
      <c r="K42" s="307">
        <f t="shared" ca="1" si="15"/>
        <v>9.0717543746947129</v>
      </c>
      <c r="L42" s="304">
        <f t="shared" ca="1" si="0"/>
        <v>9.2141598733439327</v>
      </c>
      <c r="M42" s="306">
        <f t="shared" ca="1" si="16"/>
        <v>1.3913792061076198</v>
      </c>
      <c r="N42" s="304">
        <f t="shared" ca="1" si="17"/>
        <v>79.72015621222971</v>
      </c>
      <c r="P42" s="310">
        <f t="shared" ca="1" si="18"/>
        <v>6</v>
      </c>
      <c r="Q42" s="304">
        <f t="shared" ca="1" si="19"/>
        <v>1328.89</v>
      </c>
      <c r="R42" s="306">
        <f t="shared" ca="1" si="20"/>
        <v>0.65305873475141596</v>
      </c>
      <c r="S42" s="307">
        <f t="shared" ca="1" si="21"/>
        <v>8.722644893671335</v>
      </c>
      <c r="T42" s="304">
        <f t="shared" ca="1" si="1"/>
        <v>85.569146406915806</v>
      </c>
      <c r="U42" s="311">
        <f t="shared" ca="1" si="2"/>
        <v>0</v>
      </c>
      <c r="V42" s="306">
        <f t="shared" ca="1" si="3"/>
        <v>1.2238892139280204</v>
      </c>
      <c r="W42" s="304">
        <f t="shared" ca="1" si="4"/>
        <v>10.357788229620036</v>
      </c>
      <c r="Y42" s="314" t="str">
        <f t="shared" ca="1" si="22"/>
        <v/>
      </c>
      <c r="Z42" s="315" t="str">
        <f t="shared" ca="1" si="23"/>
        <v/>
      </c>
      <c r="AA42" s="316" t="str">
        <f t="shared" ca="1" si="24"/>
        <v/>
      </c>
      <c r="AC42" s="310" t="e">
        <f t="shared" ca="1" si="25"/>
        <v>#N/A</v>
      </c>
      <c r="AD42" s="323" t="e">
        <f t="shared" ca="1" si="26"/>
        <v>#N/A</v>
      </c>
      <c r="AE42" s="324">
        <f t="shared" ca="1" si="5"/>
        <v>9.0717543746947129</v>
      </c>
      <c r="AG42" s="306">
        <f t="shared" ca="1" si="27"/>
        <v>141.5742825342673</v>
      </c>
      <c r="AH42" s="304">
        <f t="shared" ca="1" si="28"/>
        <v>151.22741497999658</v>
      </c>
    </row>
    <row r="43" spans="1:34" x14ac:dyDescent="0.2">
      <c r="A43" s="347">
        <f t="shared" ca="1" si="6"/>
        <v>0.01</v>
      </c>
      <c r="B43" s="304">
        <f t="shared" ca="1" si="7"/>
        <v>0.39000000000000018</v>
      </c>
      <c r="D43" s="306">
        <f t="shared" ca="1" si="8"/>
        <v>27.016474502193738</v>
      </c>
      <c r="E43" s="307">
        <f t="shared" ca="1" si="9"/>
        <v>139.14991568141409</v>
      </c>
      <c r="F43" s="304">
        <f t="shared" ca="1" si="10"/>
        <v>141.74832954455701</v>
      </c>
      <c r="G43" s="306">
        <f t="shared" ca="1" si="11"/>
        <v>9.3030604296035158</v>
      </c>
      <c r="H43" s="307">
        <f t="shared" ca="1" si="12"/>
        <v>51.19590200090186</v>
      </c>
      <c r="I43" s="304">
        <f t="shared" ca="1" si="13"/>
        <v>52.034289800503686</v>
      </c>
      <c r="J43" s="306">
        <f t="shared" ca="1" si="14"/>
        <v>1.7053757670407457</v>
      </c>
      <c r="K43" s="307">
        <f t="shared" ca="1" si="15"/>
        <v>9.5767558989196608</v>
      </c>
      <c r="L43" s="304">
        <f t="shared" ca="1" si="0"/>
        <v>9.7274128140170095</v>
      </c>
      <c r="M43" s="306">
        <f t="shared" ca="1" si="16"/>
        <v>1.3910427636975342</v>
      </c>
      <c r="N43" s="304">
        <f t="shared" ca="1" si="17"/>
        <v>79.700879482082598</v>
      </c>
      <c r="P43" s="310">
        <f t="shared" ca="1" si="18"/>
        <v>6</v>
      </c>
      <c r="Q43" s="304">
        <f t="shared" ca="1" si="19"/>
        <v>1329.89</v>
      </c>
      <c r="R43" s="306">
        <f t="shared" ca="1" si="20"/>
        <v>0.65355016649877762</v>
      </c>
      <c r="S43" s="307">
        <f t="shared" ca="1" si="21"/>
        <v>8.7161093920063468</v>
      </c>
      <c r="T43" s="304">
        <f t="shared" ca="1" si="1"/>
        <v>85.505033135582266</v>
      </c>
      <c r="U43" s="311">
        <f t="shared" ca="1" si="2"/>
        <v>0</v>
      </c>
      <c r="V43" s="306">
        <f t="shared" ca="1" si="3"/>
        <v>1.223827408883327</v>
      </c>
      <c r="W43" s="304">
        <f t="shared" ca="1" si="4"/>
        <v>10.945436124836863</v>
      </c>
      <c r="Y43" s="314" t="str">
        <f t="shared" ca="1" si="22"/>
        <v/>
      </c>
      <c r="Z43" s="315" t="str">
        <f t="shared" ca="1" si="23"/>
        <v/>
      </c>
      <c r="AA43" s="316" t="str">
        <f t="shared" ca="1" si="24"/>
        <v/>
      </c>
      <c r="AC43" s="310" t="e">
        <f t="shared" ca="1" si="25"/>
        <v>#N/A</v>
      </c>
      <c r="AD43" s="323" t="e">
        <f t="shared" ca="1" si="26"/>
        <v>#N/A</v>
      </c>
      <c r="AE43" s="324">
        <f t="shared" ca="1" si="5"/>
        <v>9.5767558989196608</v>
      </c>
      <c r="AG43" s="306">
        <f t="shared" ca="1" si="27"/>
        <v>141.73751845826271</v>
      </c>
      <c r="AH43" s="304">
        <f t="shared" ca="1" si="28"/>
        <v>151.39004714426136</v>
      </c>
    </row>
    <row r="44" spans="1:34" x14ac:dyDescent="0.2">
      <c r="A44" s="347">
        <f t="shared" ca="1" si="6"/>
        <v>0.01</v>
      </c>
      <c r="B44" s="304">
        <f t="shared" ca="1" si="7"/>
        <v>0.40000000000000019</v>
      </c>
      <c r="D44" s="306">
        <f t="shared" ca="1" si="8"/>
        <v>27.095379578075228</v>
      </c>
      <c r="E44" s="307">
        <f t="shared" ca="1" si="9"/>
        <v>139.29925367551292</v>
      </c>
      <c r="F44" s="304">
        <f t="shared" ca="1" si="10"/>
        <v>141.90997734139373</v>
      </c>
      <c r="G44" s="306">
        <f t="shared" ca="1" si="11"/>
        <v>9.5740142253842677</v>
      </c>
      <c r="H44" s="307">
        <f t="shared" ca="1" si="12"/>
        <v>52.588894537656991</v>
      </c>
      <c r="I44" s="304">
        <f t="shared" ca="1" si="13"/>
        <v>53.45328406263426</v>
      </c>
      <c r="J44" s="306">
        <f t="shared" ca="1" si="14"/>
        <v>1.7997611403156846</v>
      </c>
      <c r="K44" s="307">
        <f t="shared" ca="1" si="15"/>
        <v>10.095679881612455</v>
      </c>
      <c r="L44" s="304">
        <f t="shared" ca="1" si="0"/>
        <v>10.254847265278254</v>
      </c>
      <c r="M44" s="306">
        <f t="shared" ca="1" si="16"/>
        <v>1.3907146451100929</v>
      </c>
      <c r="N44" s="304">
        <f t="shared" ca="1" si="17"/>
        <v>79.682079671842416</v>
      </c>
      <c r="P44" s="310">
        <f t="shared" ca="1" si="18"/>
        <v>6</v>
      </c>
      <c r="Q44" s="304">
        <f t="shared" ca="1" si="19"/>
        <v>1330.89</v>
      </c>
      <c r="R44" s="306">
        <f t="shared" ca="1" si="20"/>
        <v>0.65404159824613928</v>
      </c>
      <c r="S44" s="307">
        <f t="shared" ca="1" si="21"/>
        <v>8.7095689760238848</v>
      </c>
      <c r="T44" s="304">
        <f t="shared" ca="1" si="1"/>
        <v>85.440871654794307</v>
      </c>
      <c r="U44" s="311">
        <f t="shared" ca="1" si="2"/>
        <v>0</v>
      </c>
      <c r="V44" s="306">
        <f t="shared" ca="1" si="3"/>
        <v>1.2237639031763945</v>
      </c>
      <c r="W44" s="304">
        <f t="shared" ca="1" si="4"/>
        <v>11.549948734937795</v>
      </c>
      <c r="Y44" s="314" t="str">
        <f t="shared" ca="1" si="22"/>
        <v/>
      </c>
      <c r="Z44" s="315" t="str">
        <f t="shared" ca="1" si="23"/>
        <v/>
      </c>
      <c r="AA44" s="316" t="str">
        <f t="shared" ca="1" si="24"/>
        <v/>
      </c>
      <c r="AC44" s="310" t="e">
        <f t="shared" ca="1" si="25"/>
        <v>#N/A</v>
      </c>
      <c r="AD44" s="323" t="e">
        <f t="shared" ca="1" si="26"/>
        <v>#N/A</v>
      </c>
      <c r="AE44" s="324">
        <f t="shared" ca="1" si="5"/>
        <v>10.095679881612455</v>
      </c>
      <c r="AG44" s="306">
        <f t="shared" ca="1" si="27"/>
        <v>141.89913846920101</v>
      </c>
      <c r="AH44" s="304">
        <f t="shared" ca="1" si="28"/>
        <v>151.55107761460636</v>
      </c>
    </row>
    <row r="45" spans="1:34" x14ac:dyDescent="0.2">
      <c r="A45" s="347">
        <f t="shared" ca="1" si="6"/>
        <v>0.01</v>
      </c>
      <c r="B45" s="304">
        <f t="shared" ca="1" si="7"/>
        <v>0.4100000000000002</v>
      </c>
      <c r="D45" s="306">
        <f t="shared" ca="1" si="8"/>
        <v>27.155528844247318</v>
      </c>
      <c r="E45" s="307">
        <f t="shared" ca="1" si="9"/>
        <v>139.35201385183416</v>
      </c>
      <c r="F45" s="304">
        <f t="shared" ca="1" si="10"/>
        <v>141.97325984625601</v>
      </c>
      <c r="G45" s="306">
        <f t="shared" ca="1" si="11"/>
        <v>9.8455695138267405</v>
      </c>
      <c r="H45" s="307">
        <f t="shared" ca="1" si="12"/>
        <v>53.982414676175331</v>
      </c>
      <c r="I45" s="304">
        <f t="shared" ca="1" si="13"/>
        <v>54.872910742206344</v>
      </c>
      <c r="J45" s="306">
        <f t="shared" ca="1" si="14"/>
        <v>1.8968590590117396</v>
      </c>
      <c r="K45" s="307">
        <f t="shared" ca="1" si="15"/>
        <v>10.628536427681617</v>
      </c>
      <c r="L45" s="304">
        <f t="shared" ca="1" si="0"/>
        <v>10.796474465505394</v>
      </c>
      <c r="M45" s="306">
        <f t="shared" ca="1" si="16"/>
        <v>1.3903944382052595</v>
      </c>
      <c r="N45" s="304">
        <f t="shared" ca="1" si="17"/>
        <v>79.663733167624514</v>
      </c>
      <c r="P45" s="310">
        <f t="shared" ca="1" si="18"/>
        <v>7</v>
      </c>
      <c r="Q45" s="304">
        <f t="shared" ca="1" si="19"/>
        <v>1331.0486250000001</v>
      </c>
      <c r="R45" s="306">
        <f t="shared" ca="1" si="20"/>
        <v>0.65411955160706448</v>
      </c>
      <c r="S45" s="307">
        <f t="shared" ca="1" si="21"/>
        <v>8.7030277805078136</v>
      </c>
      <c r="T45" s="304">
        <f t="shared" ca="1" si="1"/>
        <v>85.376702526781656</v>
      </c>
      <c r="U45" s="311">
        <f t="shared" ca="1" si="2"/>
        <v>0</v>
      </c>
      <c r="V45" s="306">
        <f t="shared" ca="1" si="3"/>
        <v>1.2236986958355449</v>
      </c>
      <c r="W45" s="304">
        <f t="shared" ca="1" si="4"/>
        <v>12.170940124012533</v>
      </c>
      <c r="Y45" s="314" t="str">
        <f t="shared" ca="1" si="22"/>
        <v/>
      </c>
      <c r="Z45" s="315" t="str">
        <f t="shared" ca="1" si="23"/>
        <v/>
      </c>
      <c r="AA45" s="316" t="str">
        <f t="shared" ca="1" si="24"/>
        <v/>
      </c>
      <c r="AC45" s="310" t="e">
        <f t="shared" ca="1" si="25"/>
        <v>#N/A</v>
      </c>
      <c r="AD45" s="323" t="e">
        <f t="shared" ca="1" si="26"/>
        <v>#N/A</v>
      </c>
      <c r="AE45" s="324">
        <f t="shared" ca="1" si="5"/>
        <v>10.628536427681617</v>
      </c>
      <c r="AG45" s="306">
        <f t="shared" ca="1" si="27"/>
        <v>141.96238664447949</v>
      </c>
      <c r="AH45" s="304">
        <f t="shared" ca="1" si="28"/>
        <v>151.6137497826154</v>
      </c>
    </row>
    <row r="46" spans="1:34" x14ac:dyDescent="0.2">
      <c r="A46" s="347">
        <f t="shared" ca="1" si="6"/>
        <v>0.01</v>
      </c>
      <c r="B46" s="304">
        <f t="shared" ca="1" si="7"/>
        <v>0.42000000000000021</v>
      </c>
      <c r="D46" s="306">
        <f t="shared" ca="1" si="8"/>
        <v>27.196842387269914</v>
      </c>
      <c r="E46" s="307">
        <f t="shared" ca="1" si="9"/>
        <v>139.30795824206734</v>
      </c>
      <c r="F46" s="304">
        <f t="shared" ca="1" si="10"/>
        <v>141.93792821304524</v>
      </c>
      <c r="G46" s="306">
        <f t="shared" ca="1" si="11"/>
        <v>10.11753793769944</v>
      </c>
      <c r="H46" s="307">
        <f t="shared" ca="1" si="12"/>
        <v>55.375494258596007</v>
      </c>
      <c r="I46" s="304">
        <f t="shared" ca="1" si="13"/>
        <v>56.292183634183054</v>
      </c>
      <c r="J46" s="306">
        <f t="shared" ca="1" si="14"/>
        <v>1.9966745962693704</v>
      </c>
      <c r="K46" s="307">
        <f t="shared" ca="1" si="15"/>
        <v>11.175325972355473</v>
      </c>
      <c r="L46" s="304">
        <f t="shared" ca="1" si="0"/>
        <v>11.352295804452519</v>
      </c>
      <c r="M46" s="306">
        <f t="shared" ca="1" si="16"/>
        <v>1.3900817555699798</v>
      </c>
      <c r="N46" s="304">
        <f t="shared" ca="1" si="17"/>
        <v>79.645817772295956</v>
      </c>
      <c r="P46" s="310">
        <f t="shared" ca="1" si="18"/>
        <v>7</v>
      </c>
      <c r="Q46" s="304">
        <f t="shared" ca="1" si="19"/>
        <v>1330.3658750000002</v>
      </c>
      <c r="R46" s="306">
        <f t="shared" ca="1" si="20"/>
        <v>0.65378402658155343</v>
      </c>
      <c r="S46" s="307">
        <f t="shared" ca="1" si="21"/>
        <v>8.6964899402419977</v>
      </c>
      <c r="T46" s="304">
        <f t="shared" ca="1" si="1"/>
        <v>85.312566313773999</v>
      </c>
      <c r="U46" s="311">
        <f t="shared" ca="1" si="2"/>
        <v>0</v>
      </c>
      <c r="V46" s="306">
        <f t="shared" ca="1" si="3"/>
        <v>1.2236317870796556</v>
      </c>
      <c r="W46" s="304">
        <f t="shared" ca="1" si="4"/>
        <v>12.807978046902658</v>
      </c>
      <c r="Y46" s="314" t="str">
        <f t="shared" ca="1" si="22"/>
        <v/>
      </c>
      <c r="Z46" s="315" t="str">
        <f t="shared" ca="1" si="23"/>
        <v/>
      </c>
      <c r="AA46" s="316" t="str">
        <f t="shared" ca="1" si="24"/>
        <v/>
      </c>
      <c r="AC46" s="310" t="e">
        <f t="shared" ca="1" si="25"/>
        <v>#N/A</v>
      </c>
      <c r="AD46" s="323" t="e">
        <f t="shared" ca="1" si="26"/>
        <v>#N/A</v>
      </c>
      <c r="AE46" s="324">
        <f t="shared" ca="1" si="5"/>
        <v>11.175325972355473</v>
      </c>
      <c r="AG46" s="306">
        <f t="shared" ca="1" si="27"/>
        <v>141.92701401212224</v>
      </c>
      <c r="AH46" s="304">
        <f t="shared" ca="1" si="28"/>
        <v>151.57781403002534</v>
      </c>
    </row>
    <row r="47" spans="1:34" x14ac:dyDescent="0.2">
      <c r="A47" s="347">
        <f t="shared" ca="1" si="6"/>
        <v>0.01</v>
      </c>
      <c r="B47" s="304">
        <f t="shared" ca="1" si="7"/>
        <v>0.43000000000000022</v>
      </c>
      <c r="D47" s="306">
        <f t="shared" ca="1" si="8"/>
        <v>27.236656706482769</v>
      </c>
      <c r="E47" s="307">
        <f t="shared" ca="1" si="9"/>
        <v>139.26216917400922</v>
      </c>
      <c r="F47" s="304">
        <f t="shared" ca="1" si="10"/>
        <v>141.90062449333038</v>
      </c>
      <c r="G47" s="306">
        <f t="shared" ca="1" si="11"/>
        <v>10.389904504764267</v>
      </c>
      <c r="H47" s="307">
        <f t="shared" ca="1" si="12"/>
        <v>56.768115950336096</v>
      </c>
      <c r="I47" s="304">
        <f t="shared" ca="1" si="13"/>
        <v>57.711083027170133</v>
      </c>
      <c r="J47" s="306">
        <f t="shared" ca="1" si="14"/>
        <v>2.0992118084816891</v>
      </c>
      <c r="K47" s="307">
        <f t="shared" ca="1" si="15"/>
        <v>11.736044023400133</v>
      </c>
      <c r="L47" s="304">
        <f t="shared" ca="1" si="0"/>
        <v>11.922307643072081</v>
      </c>
      <c r="M47" s="306">
        <f t="shared" ca="1" si="16"/>
        <v>1.3897762377577698</v>
      </c>
      <c r="N47" s="304">
        <f t="shared" ca="1" si="17"/>
        <v>79.62831289109026</v>
      </c>
      <c r="P47" s="310">
        <f t="shared" ca="1" si="18"/>
        <v>7</v>
      </c>
      <c r="Q47" s="304">
        <f t="shared" ca="1" si="19"/>
        <v>1329.683125</v>
      </c>
      <c r="R47" s="306">
        <f t="shared" ca="1" si="20"/>
        <v>0.65344850155604217</v>
      </c>
      <c r="S47" s="307">
        <f t="shared" ca="1" si="21"/>
        <v>8.6899554552264373</v>
      </c>
      <c r="T47" s="304">
        <f t="shared" ca="1" si="1"/>
        <v>85.24846301577135</v>
      </c>
      <c r="U47" s="311">
        <f t="shared" ca="1" si="2"/>
        <v>0</v>
      </c>
      <c r="V47" s="306">
        <f t="shared" ca="1" si="3"/>
        <v>1.2235631777375999</v>
      </c>
      <c r="W47" s="304">
        <f t="shared" ca="1" si="4"/>
        <v>13.461035834795696</v>
      </c>
      <c r="Y47" s="314" t="str">
        <f t="shared" ca="1" si="22"/>
        <v/>
      </c>
      <c r="Z47" s="315" t="str">
        <f t="shared" ca="1" si="23"/>
        <v/>
      </c>
      <c r="AA47" s="316" t="str">
        <f t="shared" ca="1" si="24"/>
        <v/>
      </c>
      <c r="AC47" s="310" t="e">
        <f t="shared" ca="1" si="25"/>
        <v>#N/A</v>
      </c>
      <c r="AD47" s="323" t="e">
        <f t="shared" ca="1" si="26"/>
        <v>#N/A</v>
      </c>
      <c r="AE47" s="324">
        <f t="shared" ca="1" si="5"/>
        <v>11.736044023400133</v>
      </c>
      <c r="AG47" s="306">
        <f t="shared" ca="1" si="27"/>
        <v>141.88966995781428</v>
      </c>
      <c r="AH47" s="304">
        <f t="shared" ca="1" si="28"/>
        <v>151.53991913285165</v>
      </c>
    </row>
    <row r="48" spans="1:34" x14ac:dyDescent="0.2">
      <c r="A48" s="347">
        <f t="shared" ca="1" si="6"/>
        <v>0.01</v>
      </c>
      <c r="B48" s="304">
        <f t="shared" ca="1" si="7"/>
        <v>0.44000000000000022</v>
      </c>
      <c r="D48" s="306">
        <f t="shared" ca="1" si="8"/>
        <v>27.275024355955612</v>
      </c>
      <c r="E48" s="307">
        <f t="shared" ca="1" si="9"/>
        <v>139.21463679787783</v>
      </c>
      <c r="F48" s="304">
        <f t="shared" ca="1" si="10"/>
        <v>141.86134798592255</v>
      </c>
      <c r="G48" s="306">
        <f t="shared" ca="1" si="11"/>
        <v>10.662654748323824</v>
      </c>
      <c r="H48" s="307">
        <f t="shared" ca="1" si="12"/>
        <v>58.160262318314871</v>
      </c>
      <c r="I48" s="304">
        <f t="shared" ca="1" si="13"/>
        <v>59.129589202168056</v>
      </c>
      <c r="J48" s="306">
        <f t="shared" ca="1" si="14"/>
        <v>2.2044746047471295</v>
      </c>
      <c r="K48" s="307">
        <f t="shared" ca="1" si="15"/>
        <v>12.310685914743388</v>
      </c>
      <c r="L48" s="304">
        <f t="shared" ca="1" si="0"/>
        <v>12.506506145780135</v>
      </c>
      <c r="M48" s="306">
        <f t="shared" ca="1" si="16"/>
        <v>1.3894775506459505</v>
      </c>
      <c r="N48" s="304">
        <f t="shared" ca="1" si="17"/>
        <v>79.611199380188054</v>
      </c>
      <c r="P48" s="310">
        <f t="shared" ca="1" si="18"/>
        <v>7</v>
      </c>
      <c r="Q48" s="304">
        <f t="shared" ca="1" si="19"/>
        <v>1329.0003750000001</v>
      </c>
      <c r="R48" s="306">
        <f t="shared" ca="1" si="20"/>
        <v>0.65311297653053102</v>
      </c>
      <c r="S48" s="307">
        <f t="shared" ca="1" si="21"/>
        <v>8.6834243254611323</v>
      </c>
      <c r="T48" s="304">
        <f t="shared" ca="1" si="1"/>
        <v>85.184392632773708</v>
      </c>
      <c r="U48" s="311">
        <f t="shared" ca="1" si="2"/>
        <v>0</v>
      </c>
      <c r="V48" s="306">
        <f t="shared" ca="1" si="3"/>
        <v>1.2234928686664679</v>
      </c>
      <c r="W48" s="304">
        <f t="shared" ca="1" si="4"/>
        <v>14.130085786729463</v>
      </c>
      <c r="Y48" s="314" t="str">
        <f t="shared" ca="1" si="22"/>
        <v/>
      </c>
      <c r="Z48" s="315" t="str">
        <f t="shared" ca="1" si="23"/>
        <v/>
      </c>
      <c r="AA48" s="316" t="str">
        <f t="shared" ca="1" si="24"/>
        <v/>
      </c>
      <c r="AC48" s="310" t="e">
        <f t="shared" ca="1" si="25"/>
        <v>#N/A</v>
      </c>
      <c r="AD48" s="323" t="e">
        <f t="shared" ca="1" si="26"/>
        <v>#N/A</v>
      </c>
      <c r="AE48" s="324">
        <f t="shared" ca="1" si="5"/>
        <v>12.310685914743388</v>
      </c>
      <c r="AG48" s="306">
        <f t="shared" ca="1" si="27"/>
        <v>141.8503537404637</v>
      </c>
      <c r="AH48" s="304">
        <f t="shared" ca="1" si="28"/>
        <v>151.50006378334425</v>
      </c>
    </row>
    <row r="49" spans="1:34" x14ac:dyDescent="0.2">
      <c r="A49" s="347">
        <f t="shared" ca="1" si="6"/>
        <v>0.01</v>
      </c>
      <c r="B49" s="304">
        <f t="shared" ca="1" si="7"/>
        <v>0.45000000000000023</v>
      </c>
      <c r="D49" s="306">
        <f t="shared" ca="1" si="8"/>
        <v>27.311994149358082</v>
      </c>
      <c r="E49" s="307">
        <f t="shared" ca="1" si="9"/>
        <v>139.16535197907965</v>
      </c>
      <c r="F49" s="304">
        <f t="shared" ca="1" si="10"/>
        <v>141.82009806750133</v>
      </c>
      <c r="G49" s="306">
        <f t="shared" ca="1" si="11"/>
        <v>10.935774689817405</v>
      </c>
      <c r="H49" s="307">
        <f t="shared" ca="1" si="12"/>
        <v>59.551915838105664</v>
      </c>
      <c r="I49" s="304">
        <f t="shared" ca="1" si="13"/>
        <v>60.547682433395181</v>
      </c>
      <c r="J49" s="306">
        <f t="shared" ca="1" si="14"/>
        <v>2.3124667519378357</v>
      </c>
      <c r="K49" s="307">
        <f t="shared" ca="1" si="15"/>
        <v>12.899246805525491</v>
      </c>
      <c r="L49" s="304">
        <f t="shared" ca="1" si="0"/>
        <v>13.104887280273628</v>
      </c>
      <c r="M49" s="306">
        <f t="shared" ca="1" si="16"/>
        <v>1.3891853830987886</v>
      </c>
      <c r="N49" s="304">
        <f t="shared" ca="1" si="17"/>
        <v>79.594459412824989</v>
      </c>
      <c r="P49" s="310">
        <f t="shared" ca="1" si="18"/>
        <v>7</v>
      </c>
      <c r="Q49" s="304">
        <f t="shared" ca="1" si="19"/>
        <v>1328.3176250000001</v>
      </c>
      <c r="R49" s="306">
        <f t="shared" ca="1" si="20"/>
        <v>0.65277745150501987</v>
      </c>
      <c r="S49" s="307">
        <f t="shared" ca="1" si="21"/>
        <v>8.6768965509460827</v>
      </c>
      <c r="T49" s="304">
        <f t="shared" ca="1" si="1"/>
        <v>85.120355164781074</v>
      </c>
      <c r="U49" s="311">
        <f t="shared" ca="1" si="2"/>
        <v>0</v>
      </c>
      <c r="V49" s="306">
        <f t="shared" ca="1" si="3"/>
        <v>1.2234208607516686</v>
      </c>
      <c r="W49" s="304">
        <f t="shared" ca="1" si="4"/>
        <v>14.815099170922322</v>
      </c>
      <c r="Y49" s="314" t="str">
        <f t="shared" ca="1" si="22"/>
        <v/>
      </c>
      <c r="Z49" s="315" t="str">
        <f t="shared" ca="1" si="23"/>
        <v/>
      </c>
      <c r="AA49" s="316" t="str">
        <f t="shared" ca="1" si="24"/>
        <v/>
      </c>
      <c r="AC49" s="310" t="e">
        <f t="shared" ca="1" si="25"/>
        <v>#N/A</v>
      </c>
      <c r="AD49" s="323" t="e">
        <f t="shared" ca="1" si="26"/>
        <v>#N/A</v>
      </c>
      <c r="AE49" s="324">
        <f t="shared" ca="1" si="5"/>
        <v>12.899246805525491</v>
      </c>
      <c r="AG49" s="306">
        <f t="shared" ca="1" si="27"/>
        <v>141.80906469952757</v>
      </c>
      <c r="AH49" s="304">
        <f t="shared" ca="1" si="28"/>
        <v>151.45824679331673</v>
      </c>
    </row>
    <row r="50" spans="1:34" x14ac:dyDescent="0.2">
      <c r="A50" s="347">
        <f t="shared" ca="1" si="6"/>
        <v>0.01</v>
      </c>
      <c r="B50" s="304">
        <f t="shared" ca="1" si="7"/>
        <v>0.46000000000000024</v>
      </c>
      <c r="D50" s="306">
        <f t="shared" ca="1" si="8"/>
        <v>27.347611508419668</v>
      </c>
      <c r="E50" s="307">
        <f t="shared" ca="1" si="9"/>
        <v>139.11430624407927</v>
      </c>
      <c r="F50" s="304">
        <f t="shared" ca="1" si="10"/>
        <v>141.77687419670008</v>
      </c>
      <c r="G50" s="306">
        <f t="shared" ca="1" si="11"/>
        <v>11.209250804901602</v>
      </c>
      <c r="H50" s="307">
        <f t="shared" ca="1" si="12"/>
        <v>60.943058900546454</v>
      </c>
      <c r="I50" s="304">
        <f t="shared" ca="1" si="13"/>
        <v>61.96534298914726</v>
      </c>
      <c r="J50" s="306">
        <f t="shared" ca="1" si="14"/>
        <v>2.4231918794114309</v>
      </c>
      <c r="K50" s="307">
        <f t="shared" ca="1" si="15"/>
        <v>13.501721679218752</v>
      </c>
      <c r="L50" s="304">
        <f t="shared" ca="1" si="0"/>
        <v>13.717446817375716</v>
      </c>
      <c r="M50" s="306">
        <f t="shared" ca="1" si="16"/>
        <v>1.3888994448949286</v>
      </c>
      <c r="N50" s="304">
        <f t="shared" ca="1" si="17"/>
        <v>79.578076360542255</v>
      </c>
      <c r="P50" s="310">
        <f t="shared" ca="1" si="18"/>
        <v>7</v>
      </c>
      <c r="Q50" s="304">
        <f t="shared" ca="1" si="19"/>
        <v>1327.634875</v>
      </c>
      <c r="R50" s="306">
        <f t="shared" ca="1" si="20"/>
        <v>0.6524419264795086</v>
      </c>
      <c r="S50" s="307">
        <f t="shared" ca="1" si="21"/>
        <v>8.6703721316812867</v>
      </c>
      <c r="T50" s="304">
        <f t="shared" ca="1" si="1"/>
        <v>85.056350611793434</v>
      </c>
      <c r="U50" s="311">
        <f t="shared" ca="1" si="2"/>
        <v>0</v>
      </c>
      <c r="V50" s="306">
        <f t="shared" ca="1" si="3"/>
        <v>1.2233471549070172</v>
      </c>
      <c r="W50" s="304">
        <f t="shared" ca="1" si="4"/>
        <v>15.516046226234124</v>
      </c>
      <c r="Y50" s="314" t="str">
        <f t="shared" ca="1" si="22"/>
        <v/>
      </c>
      <c r="Z50" s="315" t="str">
        <f t="shared" ca="1" si="23"/>
        <v/>
      </c>
      <c r="AA50" s="316" t="str">
        <f t="shared" ca="1" si="24"/>
        <v/>
      </c>
      <c r="AC50" s="310" t="e">
        <f t="shared" ca="1" si="25"/>
        <v>#N/A</v>
      </c>
      <c r="AD50" s="323" t="e">
        <f t="shared" ca="1" si="26"/>
        <v>#N/A</v>
      </c>
      <c r="AE50" s="324">
        <f t="shared" ca="1" si="5"/>
        <v>13.501721679218752</v>
      </c>
      <c r="AG50" s="306">
        <f t="shared" ca="1" si="27"/>
        <v>141.76580225885419</v>
      </c>
      <c r="AH50" s="304">
        <f t="shared" ca="1" si="28"/>
        <v>151.41446709444827</v>
      </c>
    </row>
    <row r="51" spans="1:34" x14ac:dyDescent="0.2">
      <c r="A51" s="347">
        <f t="shared" ca="1" si="6"/>
        <v>0.01</v>
      </c>
      <c r="B51" s="304">
        <f t="shared" ca="1" si="7"/>
        <v>0.47000000000000025</v>
      </c>
      <c r="D51" s="306">
        <f t="shared" ca="1" si="8"/>
        <v>27.381918771928159</v>
      </c>
      <c r="E51" s="307">
        <f t="shared" ca="1" si="9"/>
        <v>139.06149173233663</v>
      </c>
      <c r="F51" s="304">
        <f t="shared" ca="1" si="10"/>
        <v>141.73167591775382</v>
      </c>
      <c r="G51" s="306">
        <f t="shared" ca="1" si="11"/>
        <v>11.483069992620884</v>
      </c>
      <c r="H51" s="307">
        <f t="shared" ca="1" si="12"/>
        <v>62.333673817869823</v>
      </c>
      <c r="I51" s="304">
        <f t="shared" ca="1" si="13"/>
        <v>63.382551132689663</v>
      </c>
      <c r="J51" s="306">
        <f t="shared" ca="1" si="14"/>
        <v>2.5366534833990433</v>
      </c>
      <c r="K51" s="307">
        <f t="shared" ca="1" si="15"/>
        <v>14.118105342810834</v>
      </c>
      <c r="L51" s="304">
        <f t="shared" ca="1" si="0"/>
        <v>14.344180330905782</v>
      </c>
      <c r="M51" s="306">
        <f t="shared" ca="1" si="16"/>
        <v>1.3886194648839731</v>
      </c>
      <c r="N51" s="304">
        <f t="shared" ca="1" si="17"/>
        <v>79.562034687566481</v>
      </c>
      <c r="P51" s="310">
        <f t="shared" ca="1" si="18"/>
        <v>7</v>
      </c>
      <c r="Q51" s="304">
        <f t="shared" ca="1" si="19"/>
        <v>1326.952125</v>
      </c>
      <c r="R51" s="306">
        <f t="shared" ca="1" si="20"/>
        <v>0.65210640145399745</v>
      </c>
      <c r="S51" s="307">
        <f t="shared" ca="1" si="21"/>
        <v>8.6638510676667462</v>
      </c>
      <c r="T51" s="304">
        <f t="shared" ca="1" si="1"/>
        <v>84.992378973810787</v>
      </c>
      <c r="U51" s="311">
        <f t="shared" ca="1" si="2"/>
        <v>0</v>
      </c>
      <c r="V51" s="306">
        <f t="shared" ca="1" si="3"/>
        <v>1.2232717520748189</v>
      </c>
      <c r="W51" s="304">
        <f t="shared" ca="1" si="4"/>
        <v>16.232896163758774</v>
      </c>
      <c r="Y51" s="314" t="str">
        <f t="shared" ca="1" si="22"/>
        <v/>
      </c>
      <c r="Z51" s="315" t="str">
        <f t="shared" ca="1" si="23"/>
        <v/>
      </c>
      <c r="AA51" s="316" t="str">
        <f t="shared" ca="1" si="24"/>
        <v/>
      </c>
      <c r="AC51" s="310" t="e">
        <f t="shared" ca="1" si="25"/>
        <v>#N/A</v>
      </c>
      <c r="AD51" s="323" t="e">
        <f t="shared" ca="1" si="26"/>
        <v>#N/A</v>
      </c>
      <c r="AE51" s="324">
        <f t="shared" ca="1" si="5"/>
        <v>14.118105342810834</v>
      </c>
      <c r="AG51" s="306">
        <f t="shared" ca="1" si="27"/>
        <v>141.72056593011496</v>
      </c>
      <c r="AH51" s="304">
        <f t="shared" ca="1" si="28"/>
        <v>151.3687237385704</v>
      </c>
    </row>
    <row r="52" spans="1:34" x14ac:dyDescent="0.2">
      <c r="A52" s="347">
        <f t="shared" ca="1" si="6"/>
        <v>0.01</v>
      </c>
      <c r="B52" s="304">
        <f t="shared" ca="1" si="7"/>
        <v>0.48000000000000026</v>
      </c>
      <c r="D52" s="306">
        <f t="shared" ca="1" si="8"/>
        <v>27.414955470518304</v>
      </c>
      <c r="E52" s="307">
        <f t="shared" ca="1" si="9"/>
        <v>139.00690115351131</v>
      </c>
      <c r="F52" s="304">
        <f t="shared" ca="1" si="10"/>
        <v>141.68450286376617</v>
      </c>
      <c r="G52" s="306">
        <f t="shared" ca="1" si="11"/>
        <v>11.757219547326066</v>
      </c>
      <c r="H52" s="307">
        <f t="shared" ca="1" si="12"/>
        <v>63.723742829404934</v>
      </c>
      <c r="I52" s="304">
        <f t="shared" ca="1" si="13"/>
        <v>64.799287123178772</v>
      </c>
      <c r="J52" s="306">
        <f t="shared" ca="1" si="14"/>
        <v>2.6528549310987781</v>
      </c>
      <c r="K52" s="307">
        <f t="shared" ca="1" si="15"/>
        <v>14.748392426047207</v>
      </c>
      <c r="L52" s="304">
        <f t="shared" ca="1" si="0"/>
        <v>14.985083197571567</v>
      </c>
      <c r="M52" s="306">
        <f t="shared" ca="1" si="16"/>
        <v>1.3883451893424057</v>
      </c>
      <c r="N52" s="304">
        <f t="shared" ca="1" si="17"/>
        <v>79.546319856611007</v>
      </c>
      <c r="P52" s="310">
        <f t="shared" ca="1" si="18"/>
        <v>7</v>
      </c>
      <c r="Q52" s="304">
        <f t="shared" ca="1" si="19"/>
        <v>1326.2693750000001</v>
      </c>
      <c r="R52" s="306">
        <f t="shared" ca="1" si="20"/>
        <v>0.65177087642848641</v>
      </c>
      <c r="S52" s="307">
        <f t="shared" ca="1" si="21"/>
        <v>8.657333358902461</v>
      </c>
      <c r="T52" s="304">
        <f t="shared" ca="1" si="1"/>
        <v>84.928440250833148</v>
      </c>
      <c r="U52" s="311">
        <f t="shared" ca="1" si="2"/>
        <v>0</v>
      </c>
      <c r="V52" s="306">
        <f t="shared" ca="1" si="3"/>
        <v>1.2231946532259437</v>
      </c>
      <c r="W52" s="304">
        <f t="shared" ca="1" si="4"/>
        <v>16.965617168549112</v>
      </c>
      <c r="Y52" s="314" t="str">
        <f t="shared" ca="1" si="22"/>
        <v/>
      </c>
      <c r="Z52" s="315" t="str">
        <f t="shared" ca="1" si="23"/>
        <v/>
      </c>
      <c r="AA52" s="316" t="str">
        <f t="shared" ca="1" si="24"/>
        <v/>
      </c>
      <c r="AC52" s="310" t="e">
        <f t="shared" ca="1" si="25"/>
        <v>#N/A</v>
      </c>
      <c r="AD52" s="323" t="e">
        <f t="shared" ca="1" si="26"/>
        <v>#N/A</v>
      </c>
      <c r="AE52" s="324">
        <f t="shared" ca="1" si="5"/>
        <v>14.748392426047207</v>
      </c>
      <c r="AG52" s="306">
        <f t="shared" ca="1" si="27"/>
        <v>141.67335531587869</v>
      </c>
      <c r="AH52" s="304">
        <f t="shared" ca="1" si="28"/>
        <v>151.3210158979395</v>
      </c>
    </row>
    <row r="53" spans="1:34" x14ac:dyDescent="0.2">
      <c r="A53" s="347">
        <f t="shared" ca="1" si="6"/>
        <v>0.01</v>
      </c>
      <c r="B53" s="304">
        <f t="shared" ca="1" si="7"/>
        <v>0.49000000000000027</v>
      </c>
      <c r="D53" s="306">
        <f t="shared" ca="1" si="8"/>
        <v>27.446758571704628</v>
      </c>
      <c r="E53" s="307">
        <f t="shared" ca="1" si="9"/>
        <v>138.95052774925409</v>
      </c>
      <c r="F53" s="304">
        <f t="shared" ca="1" si="10"/>
        <v>141.6353547596421</v>
      </c>
      <c r="G53" s="306">
        <f t="shared" ca="1" si="11"/>
        <v>12.031687133043112</v>
      </c>
      <c r="H53" s="307">
        <f t="shared" ca="1" si="12"/>
        <v>65.113248106897473</v>
      </c>
      <c r="I53" s="304">
        <f t="shared" ca="1" si="13"/>
        <v>66.215531216609762</v>
      </c>
      <c r="J53" s="306">
        <f t="shared" ca="1" si="14"/>
        <v>2.7717994645006239</v>
      </c>
      <c r="K53" s="307">
        <f t="shared" ca="1" si="15"/>
        <v>15.392577380728719</v>
      </c>
      <c r="L53" s="304">
        <f t="shared" ca="1" si="0"/>
        <v>15.640150596881327</v>
      </c>
      <c r="M53" s="306">
        <f t="shared" ca="1" si="16"/>
        <v>1.3880763805034841</v>
      </c>
      <c r="N53" s="304">
        <f t="shared" ca="1" si="17"/>
        <v>79.530918244644994</v>
      </c>
      <c r="P53" s="310">
        <f t="shared" ca="1" si="18"/>
        <v>7</v>
      </c>
      <c r="Q53" s="304">
        <f t="shared" ca="1" si="19"/>
        <v>1325.5866250000001</v>
      </c>
      <c r="R53" s="306">
        <f t="shared" ca="1" si="20"/>
        <v>0.65143535140297526</v>
      </c>
      <c r="S53" s="307">
        <f t="shared" ca="1" si="21"/>
        <v>8.6508190053884313</v>
      </c>
      <c r="T53" s="304">
        <f t="shared" ca="1" si="1"/>
        <v>84.864534442860517</v>
      </c>
      <c r="U53" s="311">
        <f t="shared" ca="1" si="2"/>
        <v>0</v>
      </c>
      <c r="V53" s="306">
        <f t="shared" ca="1" si="3"/>
        <v>1.223115859359891</v>
      </c>
      <c r="W53" s="304">
        <f t="shared" ca="1" si="4"/>
        <v>17.71417640147461</v>
      </c>
      <c r="Y53" s="314" t="str">
        <f t="shared" ca="1" si="22"/>
        <v/>
      </c>
      <c r="Z53" s="315" t="str">
        <f t="shared" ca="1" si="23"/>
        <v/>
      </c>
      <c r="AA53" s="316" t="str">
        <f t="shared" ca="1" si="24"/>
        <v/>
      </c>
      <c r="AC53" s="310" t="e">
        <f t="shared" ca="1" si="25"/>
        <v>#N/A</v>
      </c>
      <c r="AD53" s="323" t="e">
        <f t="shared" ca="1" si="26"/>
        <v>#N/A</v>
      </c>
      <c r="AE53" s="324">
        <f t="shared" ca="1" si="5"/>
        <v>15.392577380728719</v>
      </c>
      <c r="AG53" s="306">
        <f t="shared" ca="1" si="27"/>
        <v>141.62417011237261</v>
      </c>
      <c r="AH53" s="304">
        <f t="shared" ca="1" si="28"/>
        <v>151.27134286549466</v>
      </c>
    </row>
    <row r="54" spans="1:34" x14ac:dyDescent="0.2">
      <c r="A54" s="347">
        <f t="shared" ca="1" si="6"/>
        <v>0.01</v>
      </c>
      <c r="B54" s="304">
        <f t="shared" ca="1" si="7"/>
        <v>0.50000000000000022</v>
      </c>
      <c r="D54" s="306">
        <f t="shared" ca="1" si="8"/>
        <v>27.477362698948593</v>
      </c>
      <c r="E54" s="307">
        <f t="shared" ca="1" si="9"/>
        <v>138.89236525900515</v>
      </c>
      <c r="F54" s="304">
        <f t="shared" ca="1" si="10"/>
        <v>141.58423142472634</v>
      </c>
      <c r="G54" s="306">
        <f t="shared" ca="1" si="11"/>
        <v>12.306460760032598</v>
      </c>
      <c r="H54" s="307">
        <f t="shared" ca="1" si="12"/>
        <v>66.502171759487524</v>
      </c>
      <c r="I54" s="304">
        <f t="shared" ca="1" si="13"/>
        <v>67.63126366678803</v>
      </c>
      <c r="J54" s="306">
        <f t="shared" ca="1" si="14"/>
        <v>2.8934902039660022</v>
      </c>
      <c r="K54" s="307">
        <f t="shared" ca="1" si="15"/>
        <v>16.050654480060643</v>
      </c>
      <c r="L54" s="304">
        <f t="shared" ca="1" si="0"/>
        <v>16.309377511074359</v>
      </c>
      <c r="M54" s="306">
        <f t="shared" ca="1" si="16"/>
        <v>1.3878128152394307</v>
      </c>
      <c r="N54" s="304">
        <f t="shared" ca="1" si="17"/>
        <v>79.515817067388468</v>
      </c>
      <c r="P54" s="310">
        <f t="shared" ca="1" si="18"/>
        <v>7</v>
      </c>
      <c r="Q54" s="304">
        <f t="shared" ca="1" si="19"/>
        <v>1324.903875</v>
      </c>
      <c r="R54" s="306">
        <f t="shared" ca="1" si="20"/>
        <v>0.651099826377464</v>
      </c>
      <c r="S54" s="307">
        <f t="shared" ca="1" si="21"/>
        <v>8.644308007124657</v>
      </c>
      <c r="T54" s="304">
        <f t="shared" ca="1" si="1"/>
        <v>84.800661549892894</v>
      </c>
      <c r="U54" s="311">
        <f t="shared" ca="1" si="2"/>
        <v>0</v>
      </c>
      <c r="V54" s="306">
        <f t="shared" ca="1" si="3"/>
        <v>1.2230353715048505</v>
      </c>
      <c r="W54" s="304">
        <f t="shared" ca="1" si="4"/>
        <v>18.478540001212536</v>
      </c>
      <c r="Y54" s="314" t="str">
        <f t="shared" ca="1" si="22"/>
        <v/>
      </c>
      <c r="Z54" s="315" t="str">
        <f t="shared" ca="1" si="23"/>
        <v/>
      </c>
      <c r="AA54" s="316" t="str">
        <f t="shared" ca="1" si="24"/>
        <v/>
      </c>
      <c r="AC54" s="310" t="e">
        <f t="shared" ca="1" si="25"/>
        <v>#N/A</v>
      </c>
      <c r="AD54" s="323" t="e">
        <f t="shared" ca="1" si="26"/>
        <v>#N/A</v>
      </c>
      <c r="AE54" s="324">
        <f t="shared" ca="1" si="5"/>
        <v>16.050654480060643</v>
      </c>
      <c r="AG54" s="306">
        <f t="shared" ca="1" si="27"/>
        <v>141.57301011196648</v>
      </c>
      <c r="AH54" s="304">
        <f t="shared" ca="1" si="28"/>
        <v>151.21970405510041</v>
      </c>
    </row>
    <row r="55" spans="1:34" x14ac:dyDescent="0.2">
      <c r="A55" s="347">
        <f t="shared" ca="1" si="6"/>
        <v>0.01</v>
      </c>
      <c r="B55" s="304">
        <f t="shared" ca="1" si="7"/>
        <v>0.51000000000000023</v>
      </c>
      <c r="D55" s="306">
        <f t="shared" ca="1" si="8"/>
        <v>27.506800327998249</v>
      </c>
      <c r="E55" s="307">
        <f t="shared" ca="1" si="9"/>
        <v>138.83240788930291</v>
      </c>
      <c r="F55" s="304">
        <f t="shared" ca="1" si="10"/>
        <v>141.53113277518182</v>
      </c>
      <c r="G55" s="306">
        <f t="shared" ca="1" si="11"/>
        <v>12.58152876331258</v>
      </c>
      <c r="H55" s="307">
        <f t="shared" ca="1" si="12"/>
        <v>67.890495838380559</v>
      </c>
      <c r="I55" s="304">
        <f t="shared" ca="1" si="13"/>
        <v>69.046464726322014</v>
      </c>
      <c r="J55" s="306">
        <f t="shared" ca="1" si="14"/>
        <v>3.0179301515827279</v>
      </c>
      <c r="K55" s="307">
        <f t="shared" ca="1" si="15"/>
        <v>16.722617818049983</v>
      </c>
      <c r="L55" s="304">
        <f t="shared" ca="1" si="0"/>
        <v>16.992758725068597</v>
      </c>
      <c r="M55" s="306">
        <f t="shared" ca="1" si="16"/>
        <v>1.3875542838773289</v>
      </c>
      <c r="N55" s="304">
        <f t="shared" ca="1" si="17"/>
        <v>79.501004311468279</v>
      </c>
      <c r="P55" s="310">
        <f t="shared" ca="1" si="18"/>
        <v>7</v>
      </c>
      <c r="Q55" s="304">
        <f t="shared" ca="1" si="19"/>
        <v>1324.221125</v>
      </c>
      <c r="R55" s="306">
        <f t="shared" ca="1" si="20"/>
        <v>0.65076430135195285</v>
      </c>
      <c r="S55" s="307">
        <f t="shared" ca="1" si="21"/>
        <v>8.6378003641111381</v>
      </c>
      <c r="T55" s="304">
        <f t="shared" ca="1" si="1"/>
        <v>84.736821571930264</v>
      </c>
      <c r="U55" s="311">
        <f t="shared" ca="1" si="2"/>
        <v>0</v>
      </c>
      <c r="V55" s="306">
        <f t="shared" ca="1" si="3"/>
        <v>1.2229531907177575</v>
      </c>
      <c r="W55" s="304">
        <f t="shared" ca="1" si="4"/>
        <v>19.258673086372955</v>
      </c>
      <c r="Y55" s="314" t="str">
        <f t="shared" ca="1" si="22"/>
        <v/>
      </c>
      <c r="Z55" s="315" t="str">
        <f t="shared" ca="1" si="23"/>
        <v/>
      </c>
      <c r="AA55" s="316" t="str">
        <f t="shared" ca="1" si="24"/>
        <v/>
      </c>
      <c r="AC55" s="310" t="e">
        <f t="shared" ca="1" si="25"/>
        <v>#N/A</v>
      </c>
      <c r="AD55" s="323" t="e">
        <f t="shared" ca="1" si="26"/>
        <v>#N/A</v>
      </c>
      <c r="AE55" s="324">
        <f t="shared" ca="1" si="5"/>
        <v>16.722617818049983</v>
      </c>
      <c r="AG55" s="306">
        <f t="shared" ca="1" si="27"/>
        <v>141.51987520541289</v>
      </c>
      <c r="AH55" s="304">
        <f t="shared" ca="1" si="28"/>
        <v>151.16609900177443</v>
      </c>
    </row>
    <row r="56" spans="1:34" x14ac:dyDescent="0.2">
      <c r="A56" s="347">
        <f t="shared" ca="1" si="6"/>
        <v>0.01</v>
      </c>
      <c r="B56" s="304">
        <f t="shared" ca="1" si="7"/>
        <v>0.52000000000000024</v>
      </c>
      <c r="D56" s="306">
        <f t="shared" ca="1" si="8"/>
        <v>27.535101963276922</v>
      </c>
      <c r="E56" s="307">
        <f t="shared" ca="1" si="9"/>
        <v>138.77065028617804</v>
      </c>
      <c r="F56" s="304">
        <f t="shared" ca="1" si="10"/>
        <v>141.47605882613772</v>
      </c>
      <c r="G56" s="306">
        <f t="shared" ca="1" si="11"/>
        <v>12.856879782945349</v>
      </c>
      <c r="H56" s="307">
        <f t="shared" ca="1" si="12"/>
        <v>69.278202341242334</v>
      </c>
      <c r="I56" s="304">
        <f t="shared" ca="1" si="13"/>
        <v>70.461114647635426</v>
      </c>
      <c r="J56" s="306">
        <f t="shared" ca="1" si="14"/>
        <v>3.1451221943140175</v>
      </c>
      <c r="K56" s="307">
        <f t="shared" ca="1" si="15"/>
        <v>17.408461308948098</v>
      </c>
      <c r="L56" s="304">
        <f t="shared" ca="1" si="0"/>
        <v>17.690288826424219</v>
      </c>
      <c r="M56" s="306">
        <f t="shared" ca="1" si="16"/>
        <v>1.3873005891327419</v>
      </c>
      <c r="N56" s="304">
        <f t="shared" ca="1" si="17"/>
        <v>79.486468673318797</v>
      </c>
      <c r="P56" s="310">
        <f t="shared" ca="1" si="18"/>
        <v>7</v>
      </c>
      <c r="Q56" s="304">
        <f t="shared" ca="1" si="19"/>
        <v>1323.5383750000001</v>
      </c>
      <c r="R56" s="306">
        <f t="shared" ca="1" si="20"/>
        <v>0.65042877632644169</v>
      </c>
      <c r="S56" s="307">
        <f t="shared" ca="1" si="21"/>
        <v>8.6312960763478728</v>
      </c>
      <c r="T56" s="304">
        <f t="shared" ca="1" si="1"/>
        <v>84.673014508972642</v>
      </c>
      <c r="U56" s="311">
        <f t="shared" ca="1" si="2"/>
        <v>0</v>
      </c>
      <c r="V56" s="306">
        <f t="shared" ca="1" si="3"/>
        <v>1.2228693180843386</v>
      </c>
      <c r="W56" s="304">
        <f t="shared" ca="1" si="4"/>
        <v>20.054539757757759</v>
      </c>
      <c r="Y56" s="314" t="str">
        <f t="shared" ca="1" si="22"/>
        <v/>
      </c>
      <c r="Z56" s="315" t="str">
        <f t="shared" ca="1" si="23"/>
        <v/>
      </c>
      <c r="AA56" s="316" t="str">
        <f t="shared" ca="1" si="24"/>
        <v/>
      </c>
      <c r="AC56" s="310" t="e">
        <f t="shared" ca="1" si="25"/>
        <v>#N/A</v>
      </c>
      <c r="AD56" s="323" t="e">
        <f t="shared" ca="1" si="26"/>
        <v>#N/A</v>
      </c>
      <c r="AE56" s="324">
        <f t="shared" ca="1" si="5"/>
        <v>17.408461308948098</v>
      </c>
      <c r="AG56" s="306">
        <f t="shared" ca="1" si="27"/>
        <v>141.46476538387068</v>
      </c>
      <c r="AH56" s="304">
        <f t="shared" ca="1" si="28"/>
        <v>151.11052736190021</v>
      </c>
    </row>
    <row r="57" spans="1:34" x14ac:dyDescent="0.2">
      <c r="A57" s="347">
        <f t="shared" ca="1" si="6"/>
        <v>0.01</v>
      </c>
      <c r="B57" s="304">
        <f t="shared" ca="1" si="7"/>
        <v>0.53000000000000025</v>
      </c>
      <c r="D57" s="306">
        <f t="shared" ca="1" si="8"/>
        <v>27.562296296708439</v>
      </c>
      <c r="E57" s="307">
        <f t="shared" ca="1" si="9"/>
        <v>138.70708751026427</v>
      </c>
      <c r="F57" s="304">
        <f t="shared" ca="1" si="10"/>
        <v>141.41900969363226</v>
      </c>
      <c r="G57" s="306">
        <f t="shared" ca="1" si="11"/>
        <v>13.132502745912433</v>
      </c>
      <c r="H57" s="307">
        <f t="shared" ca="1" si="12"/>
        <v>70.665273216344971</v>
      </c>
      <c r="I57" s="304">
        <f t="shared" ca="1" si="13"/>
        <v>71.875193683996983</v>
      </c>
      <c r="J57" s="306">
        <f t="shared" ca="1" si="14"/>
        <v>3.2750691069583064</v>
      </c>
      <c r="K57" s="307">
        <f t="shared" ca="1" si="15"/>
        <v>18.108178686736036</v>
      </c>
      <c r="L57" s="304">
        <f t="shared" ca="1" si="0"/>
        <v>18.401962205322398</v>
      </c>
      <c r="M57" s="306">
        <f t="shared" ca="1" si="16"/>
        <v>1.3870515451472532</v>
      </c>
      <c r="N57" s="304">
        <f t="shared" ca="1" si="17"/>
        <v>79.472199504037164</v>
      </c>
      <c r="P57" s="310">
        <f t="shared" ca="1" si="18"/>
        <v>7</v>
      </c>
      <c r="Q57" s="304">
        <f t="shared" ca="1" si="19"/>
        <v>1322.8556249999999</v>
      </c>
      <c r="R57" s="306">
        <f t="shared" ca="1" si="20"/>
        <v>0.65009325130093043</v>
      </c>
      <c r="S57" s="307">
        <f t="shared" ca="1" si="21"/>
        <v>8.6247951438348629</v>
      </c>
      <c r="T57" s="304">
        <f t="shared" ca="1" si="1"/>
        <v>84.609240361020014</v>
      </c>
      <c r="U57" s="311">
        <f t="shared" ca="1" si="2"/>
        <v>0</v>
      </c>
      <c r="V57" s="306">
        <f t="shared" ca="1" si="3"/>
        <v>1.2227837547191527</v>
      </c>
      <c r="W57" s="304">
        <f t="shared" ca="1" si="4"/>
        <v>20.866103100754238</v>
      </c>
      <c r="Y57" s="314" t="str">
        <f t="shared" ca="1" si="22"/>
        <v/>
      </c>
      <c r="Z57" s="315" t="str">
        <f t="shared" ca="1" si="23"/>
        <v/>
      </c>
      <c r="AA57" s="316" t="str">
        <f t="shared" ca="1" si="24"/>
        <v/>
      </c>
      <c r="AC57" s="310" t="e">
        <f t="shared" ca="1" si="25"/>
        <v>#N/A</v>
      </c>
      <c r="AD57" s="323" t="e">
        <f t="shared" ca="1" si="26"/>
        <v>#N/A</v>
      </c>
      <c r="AE57" s="324">
        <f t="shared" ca="1" si="5"/>
        <v>18.108178686736036</v>
      </c>
      <c r="AG57" s="306">
        <f t="shared" ca="1" si="27"/>
        <v>141.40768074073557</v>
      </c>
      <c r="AH57" s="304">
        <f t="shared" ca="1" si="28"/>
        <v>151.05298891342417</v>
      </c>
    </row>
    <row r="58" spans="1:34" x14ac:dyDescent="0.2">
      <c r="A58" s="347">
        <f t="shared" ca="1" si="6"/>
        <v>0.01</v>
      </c>
      <c r="B58" s="304">
        <f t="shared" ca="1" si="7"/>
        <v>0.54000000000000026</v>
      </c>
      <c r="D58" s="306">
        <f t="shared" ca="1" si="8"/>
        <v>27.588410351039457</v>
      </c>
      <c r="E58" s="307">
        <f t="shared" ca="1" si="9"/>
        <v>138.64171501431059</v>
      </c>
      <c r="F58" s="304">
        <f t="shared" ca="1" si="10"/>
        <v>141.35998559637255</v>
      </c>
      <c r="G58" s="306">
        <f t="shared" ca="1" si="11"/>
        <v>13.408386849422827</v>
      </c>
      <c r="H58" s="307">
        <f t="shared" ca="1" si="12"/>
        <v>72.051690366488074</v>
      </c>
      <c r="I58" s="304">
        <f t="shared" ca="1" si="13"/>
        <v>73.28868209056597</v>
      </c>
      <c r="J58" s="306">
        <f t="shared" ca="1" si="14"/>
        <v>3.4077735549349826</v>
      </c>
      <c r="K58" s="307">
        <f t="shared" ca="1" si="15"/>
        <v>18.8217635046502</v>
      </c>
      <c r="L58" s="304">
        <f t="shared" ca="1" si="0"/>
        <v>19.127773054558556</v>
      </c>
      <c r="M58" s="306">
        <f t="shared" ca="1" si="16"/>
        <v>1.3868069766179831</v>
      </c>
      <c r="N58" s="304">
        <f t="shared" ca="1" si="17"/>
        <v>79.45818675950828</v>
      </c>
      <c r="P58" s="310">
        <f t="shared" ca="1" si="18"/>
        <v>7</v>
      </c>
      <c r="Q58" s="304">
        <f t="shared" ca="1" si="19"/>
        <v>1322.172875</v>
      </c>
      <c r="R58" s="306">
        <f t="shared" ca="1" si="20"/>
        <v>0.64975772627541928</v>
      </c>
      <c r="S58" s="307">
        <f t="shared" ca="1" si="21"/>
        <v>8.6182975665721084</v>
      </c>
      <c r="T58" s="304">
        <f t="shared" ca="1" si="1"/>
        <v>84.545499128072393</v>
      </c>
      <c r="U58" s="311">
        <f t="shared" ca="1" si="2"/>
        <v>0</v>
      </c>
      <c r="V58" s="306">
        <f t="shared" ca="1" si="3"/>
        <v>1.2226965017656306</v>
      </c>
      <c r="W58" s="304">
        <f t="shared" ca="1" si="4"/>
        <v>21.693325187863159</v>
      </c>
      <c r="Y58" s="314" t="str">
        <f t="shared" ca="1" si="22"/>
        <v/>
      </c>
      <c r="Z58" s="315" t="str">
        <f t="shared" ca="1" si="23"/>
        <v/>
      </c>
      <c r="AA58" s="316" t="str">
        <f t="shared" ca="1" si="24"/>
        <v/>
      </c>
      <c r="AC58" s="310" t="e">
        <f t="shared" ca="1" si="25"/>
        <v>#N/A</v>
      </c>
      <c r="AD58" s="323" t="e">
        <f t="shared" ca="1" si="26"/>
        <v>#N/A</v>
      </c>
      <c r="AE58" s="324">
        <f t="shared" ca="1" si="5"/>
        <v>18.8217635046502</v>
      </c>
      <c r="AG58" s="306">
        <f t="shared" ca="1" si="27"/>
        <v>141.34862147329815</v>
      </c>
      <c r="AH58" s="304">
        <f t="shared" ca="1" si="28"/>
        <v>150.99348355603772</v>
      </c>
    </row>
    <row r="59" spans="1:34" x14ac:dyDescent="0.2">
      <c r="A59" s="347">
        <f t="shared" ca="1" si="6"/>
        <v>0.01</v>
      </c>
      <c r="B59" s="304">
        <f t="shared" ca="1" si="7"/>
        <v>0.55000000000000027</v>
      </c>
      <c r="D59" s="306">
        <f t="shared" ca="1" si="8"/>
        <v>27.613469609442767</v>
      </c>
      <c r="E59" s="307">
        <f t="shared" ca="1" si="9"/>
        <v>138.57452862281806</v>
      </c>
      <c r="F59" s="304">
        <f t="shared" ca="1" si="10"/>
        <v>141.29898685732974</v>
      </c>
      <c r="G59" s="306">
        <f t="shared" ca="1" si="11"/>
        <v>13.684521545517255</v>
      </c>
      <c r="H59" s="307">
        <f t="shared" ca="1" si="12"/>
        <v>73.43743565271626</v>
      </c>
      <c r="I59" s="304">
        <f t="shared" ca="1" si="13"/>
        <v>74.701560125452318</v>
      </c>
      <c r="J59" s="306">
        <f t="shared" ca="1" si="14"/>
        <v>3.5432380969096831</v>
      </c>
      <c r="K59" s="307">
        <f t="shared" ca="1" si="15"/>
        <v>19.549209134746221</v>
      </c>
      <c r="L59" s="304">
        <f t="shared" ca="1" si="0"/>
        <v>19.867715369549597</v>
      </c>
      <c r="M59" s="306">
        <f t="shared" ca="1" si="16"/>
        <v>1.3865667180087129</v>
      </c>
      <c r="N59" s="304">
        <f t="shared" ca="1" si="17"/>
        <v>79.444420955205402</v>
      </c>
      <c r="P59" s="310">
        <f t="shared" ca="1" si="18"/>
        <v>7</v>
      </c>
      <c r="Q59" s="304">
        <f t="shared" ca="1" si="19"/>
        <v>1321.490125</v>
      </c>
      <c r="R59" s="306">
        <f t="shared" ca="1" si="20"/>
        <v>0.64942220124990824</v>
      </c>
      <c r="S59" s="307">
        <f t="shared" ca="1" si="21"/>
        <v>8.6118033445596094</v>
      </c>
      <c r="T59" s="304">
        <f t="shared" ca="1" si="1"/>
        <v>84.481790810129766</v>
      </c>
      <c r="U59" s="311">
        <f t="shared" ca="1" si="2"/>
        <v>0</v>
      </c>
      <c r="V59" s="306">
        <f t="shared" ca="1" si="3"/>
        <v>1.2226075603961013</v>
      </c>
      <c r="W59" s="304">
        <f t="shared" ca="1" si="4"/>
        <v>22.536167081361512</v>
      </c>
      <c r="Y59" s="314" t="str">
        <f t="shared" ca="1" si="22"/>
        <v/>
      </c>
      <c r="Z59" s="315" t="str">
        <f t="shared" ca="1" si="23"/>
        <v/>
      </c>
      <c r="AA59" s="316" t="str">
        <f t="shared" ca="1" si="24"/>
        <v/>
      </c>
      <c r="AC59" s="310" t="e">
        <f t="shared" ca="1" si="25"/>
        <v>#N/A</v>
      </c>
      <c r="AD59" s="323" t="e">
        <f t="shared" ca="1" si="26"/>
        <v>#N/A</v>
      </c>
      <c r="AE59" s="324">
        <f t="shared" ca="1" si="5"/>
        <v>19.549209134746221</v>
      </c>
      <c r="AG59" s="306">
        <f t="shared" ca="1" si="27"/>
        <v>141.2875878842475</v>
      </c>
      <c r="AH59" s="304">
        <f t="shared" ca="1" si="28"/>
        <v>150.93201131134353</v>
      </c>
    </row>
    <row r="60" spans="1:34" x14ac:dyDescent="0.2">
      <c r="A60" s="347">
        <f t="shared" ca="1" si="6"/>
        <v>0.01</v>
      </c>
      <c r="B60" s="304">
        <f t="shared" ca="1" si="7"/>
        <v>0.56000000000000028</v>
      </c>
      <c r="D60" s="306">
        <f t="shared" ca="1" si="8"/>
        <v>27.637498132949514</v>
      </c>
      <c r="E60" s="307">
        <f t="shared" ca="1" si="9"/>
        <v>138.50552451356307</v>
      </c>
      <c r="F60" s="304">
        <f t="shared" ca="1" si="10"/>
        <v>141.23601390518641</v>
      </c>
      <c r="G60" s="306">
        <f t="shared" ca="1" si="11"/>
        <v>13.960896526846749</v>
      </c>
      <c r="H60" s="307">
        <f t="shared" ca="1" si="12"/>
        <v>74.822490897851893</v>
      </c>
      <c r="I60" s="304">
        <f t="shared" ca="1" si="13"/>
        <v>76.113808050789643</v>
      </c>
      <c r="J60" s="306">
        <f t="shared" ca="1" si="14"/>
        <v>3.681465187271503</v>
      </c>
      <c r="K60" s="307">
        <f t="shared" ca="1" si="15"/>
        <v>20.290508767499063</v>
      </c>
      <c r="L60" s="304">
        <f t="shared" ca="1" si="0"/>
        <v>20.621782948354596</v>
      </c>
      <c r="M60" s="306">
        <f t="shared" ca="1" si="16"/>
        <v>1.3863306128335817</v>
      </c>
      <c r="N60" s="304">
        <f t="shared" ca="1" si="17"/>
        <v>79.430893125149197</v>
      </c>
      <c r="P60" s="310">
        <f t="shared" ca="1" si="18"/>
        <v>7</v>
      </c>
      <c r="Q60" s="304">
        <f t="shared" ca="1" si="19"/>
        <v>1320.8073750000001</v>
      </c>
      <c r="R60" s="306">
        <f t="shared" ca="1" si="20"/>
        <v>0.64908667622439709</v>
      </c>
      <c r="S60" s="307">
        <f t="shared" ca="1" si="21"/>
        <v>8.6053124777973657</v>
      </c>
      <c r="T60" s="304">
        <f t="shared" ca="1" si="1"/>
        <v>84.418115407192161</v>
      </c>
      <c r="U60" s="311">
        <f t="shared" ca="1" si="2"/>
        <v>0</v>
      </c>
      <c r="V60" s="306">
        <f t="shared" ca="1" si="3"/>
        <v>1.2225169318118236</v>
      </c>
      <c r="W60" s="304">
        <f t="shared" ca="1" si="4"/>
        <v>23.394588836100088</v>
      </c>
      <c r="Y60" s="314" t="str">
        <f t="shared" ca="1" si="22"/>
        <v/>
      </c>
      <c r="Z60" s="315" t="str">
        <f t="shared" ca="1" si="23"/>
        <v/>
      </c>
      <c r="AA60" s="316" t="str">
        <f t="shared" ca="1" si="24"/>
        <v/>
      </c>
      <c r="AC60" s="310" t="e">
        <f t="shared" ca="1" si="25"/>
        <v>#N/A</v>
      </c>
      <c r="AD60" s="323" t="e">
        <f t="shared" ca="1" si="26"/>
        <v>#N/A</v>
      </c>
      <c r="AE60" s="324">
        <f t="shared" ca="1" si="5"/>
        <v>20.290508767499063</v>
      </c>
      <c r="AG60" s="306">
        <f t="shared" ca="1" si="27"/>
        <v>141.22458038303475</v>
      </c>
      <c r="AH60" s="304">
        <f t="shared" ca="1" si="28"/>
        <v>150.86857232300608</v>
      </c>
    </row>
    <row r="61" spans="1:34" x14ac:dyDescent="0.2">
      <c r="A61" s="347">
        <f t="shared" ca="1" si="6"/>
        <v>0.01</v>
      </c>
      <c r="B61" s="304">
        <f t="shared" ca="1" si="7"/>
        <v>0.57000000000000028</v>
      </c>
      <c r="D61" s="306">
        <f t="shared" ca="1" si="8"/>
        <v>27.660518667058902</v>
      </c>
      <c r="E61" s="307">
        <f t="shared" ca="1" si="9"/>
        <v>138.43469920079906</v>
      </c>
      <c r="F61" s="304">
        <f t="shared" ca="1" si="10"/>
        <v>141.17106727565118</v>
      </c>
      <c r="G61" s="306">
        <f t="shared" ca="1" si="11"/>
        <v>14.237501713517338</v>
      </c>
      <c r="H61" s="307">
        <f t="shared" ca="1" si="12"/>
        <v>76.206837889859884</v>
      </c>
      <c r="I61" s="304">
        <f t="shared" ca="1" si="13"/>
        <v>77.525406133820368</v>
      </c>
      <c r="J61" s="306">
        <f t="shared" ca="1" si="14"/>
        <v>3.8224571784733232</v>
      </c>
      <c r="K61" s="307">
        <f t="shared" ca="1" si="15"/>
        <v>21.045655411437622</v>
      </c>
      <c r="L61" s="304">
        <f t="shared" ca="1" si="0"/>
        <v>21.389969391708721</v>
      </c>
      <c r="M61" s="306">
        <f t="shared" ca="1" si="16"/>
        <v>1.3860985130054788</v>
      </c>
      <c r="N61" s="304">
        <f t="shared" ca="1" si="17"/>
        <v>79.417594784573183</v>
      </c>
      <c r="P61" s="310">
        <f t="shared" ca="1" si="18"/>
        <v>7</v>
      </c>
      <c r="Q61" s="304">
        <f t="shared" ca="1" si="19"/>
        <v>1320.1246249999999</v>
      </c>
      <c r="R61" s="306">
        <f t="shared" ca="1" si="20"/>
        <v>0.64875115119888582</v>
      </c>
      <c r="S61" s="307">
        <f t="shared" ca="1" si="21"/>
        <v>8.5988249662853775</v>
      </c>
      <c r="T61" s="304">
        <f t="shared" ca="1" si="1"/>
        <v>84.354472919259564</v>
      </c>
      <c r="U61" s="311">
        <f t="shared" ca="1" si="2"/>
        <v>0</v>
      </c>
      <c r="V61" s="306">
        <f t="shared" ca="1" si="3"/>
        <v>1.2224246172430016</v>
      </c>
      <c r="W61" s="304">
        <f t="shared" ca="1" si="4"/>
        <v>24.268549502435686</v>
      </c>
      <c r="Y61" s="314" t="str">
        <f t="shared" ca="1" si="22"/>
        <v/>
      </c>
      <c r="Z61" s="315" t="str">
        <f t="shared" ca="1" si="23"/>
        <v/>
      </c>
      <c r="AA61" s="316" t="str">
        <f t="shared" ca="1" si="24"/>
        <v/>
      </c>
      <c r="AC61" s="310" t="e">
        <f t="shared" ca="1" si="25"/>
        <v>#N/A</v>
      </c>
      <c r="AD61" s="323" t="e">
        <f t="shared" ca="1" si="26"/>
        <v>#N/A</v>
      </c>
      <c r="AE61" s="324">
        <f t="shared" ca="1" si="5"/>
        <v>21.045655411437622</v>
      </c>
      <c r="AG61" s="306">
        <f t="shared" ca="1" si="27"/>
        <v>141.15959948711185</v>
      </c>
      <c r="AH61" s="304">
        <f t="shared" ca="1" si="28"/>
        <v>150.80316685688703</v>
      </c>
    </row>
    <row r="62" spans="1:34" x14ac:dyDescent="0.2">
      <c r="A62" s="347">
        <f t="shared" ca="1" si="6"/>
        <v>0.01</v>
      </c>
      <c r="B62" s="304">
        <f t="shared" ca="1" si="7"/>
        <v>0.58000000000000029</v>
      </c>
      <c r="D62" s="306">
        <f t="shared" ca="1" si="8"/>
        <v>27.682552738701393</v>
      </c>
      <c r="E62" s="307">
        <f t="shared" ca="1" si="9"/>
        <v>138.36204951995344</v>
      </c>
      <c r="F62" s="304">
        <f t="shared" ca="1" si="10"/>
        <v>141.10414761265181</v>
      </c>
      <c r="G62" s="306">
        <f t="shared" ca="1" si="11"/>
        <v>14.514327240904352</v>
      </c>
      <c r="H62" s="307">
        <f t="shared" ca="1" si="12"/>
        <v>77.590458385059421</v>
      </c>
      <c r="I62" s="304">
        <f t="shared" ca="1" si="13"/>
        <v>78.936334647991458</v>
      </c>
      <c r="J62" s="306">
        <f t="shared" ca="1" si="14"/>
        <v>3.9662163232454315</v>
      </c>
      <c r="K62" s="307">
        <f t="shared" ca="1" si="15"/>
        <v>21.814641892812219</v>
      </c>
      <c r="L62" s="304">
        <f t="shared" ca="1" si="0"/>
        <v>22.172268103070024</v>
      </c>
      <c r="M62" s="306">
        <f t="shared" ca="1" si="16"/>
        <v>1.3858702782422245</v>
      </c>
      <c r="N62" s="304">
        <f t="shared" ca="1" si="17"/>
        <v>79.40451789590054</v>
      </c>
      <c r="P62" s="310">
        <f t="shared" ca="1" si="18"/>
        <v>7</v>
      </c>
      <c r="Q62" s="304">
        <f t="shared" ca="1" si="19"/>
        <v>1319.441875</v>
      </c>
      <c r="R62" s="306">
        <f t="shared" ca="1" si="20"/>
        <v>0.64841562617337467</v>
      </c>
      <c r="S62" s="307">
        <f t="shared" ca="1" si="21"/>
        <v>8.5923408100236429</v>
      </c>
      <c r="T62" s="304">
        <f t="shared" ca="1" si="1"/>
        <v>84.290863346331946</v>
      </c>
      <c r="U62" s="311">
        <f t="shared" ca="1" si="2"/>
        <v>0</v>
      </c>
      <c r="V62" s="306">
        <f t="shared" ca="1" si="3"/>
        <v>1.2223306179488067</v>
      </c>
      <c r="W62" s="304">
        <f t="shared" ca="1" si="4"/>
        <v>25.158007129298131</v>
      </c>
      <c r="Y62" s="314" t="str">
        <f t="shared" ca="1" si="22"/>
        <v/>
      </c>
      <c r="Z62" s="315" t="str">
        <f t="shared" ca="1" si="23"/>
        <v/>
      </c>
      <c r="AA62" s="316" t="str">
        <f t="shared" ca="1" si="24"/>
        <v/>
      </c>
      <c r="AC62" s="310" t="e">
        <f t="shared" ca="1" si="25"/>
        <v>#N/A</v>
      </c>
      <c r="AD62" s="323" t="e">
        <f t="shared" ca="1" si="26"/>
        <v>#N/A</v>
      </c>
      <c r="AE62" s="324">
        <f t="shared" ca="1" si="5"/>
        <v>21.814641892812219</v>
      </c>
      <c r="AG62" s="306">
        <f t="shared" ca="1" si="27"/>
        <v>141.09264582305551</v>
      </c>
      <c r="AH62" s="304">
        <f t="shared" ca="1" si="28"/>
        <v>150.73579530116433</v>
      </c>
    </row>
    <row r="63" spans="1:34" x14ac:dyDescent="0.2">
      <c r="A63" s="347">
        <f t="shared" ca="1" si="6"/>
        <v>0.01</v>
      </c>
      <c r="B63" s="304">
        <f t="shared" ca="1" si="7"/>
        <v>0.5900000000000003</v>
      </c>
      <c r="D63" s="306">
        <f t="shared" ca="1" si="8"/>
        <v>27.703620744585891</v>
      </c>
      <c r="E63" s="307">
        <f t="shared" ca="1" si="9"/>
        <v>138.28757261366027</v>
      </c>
      <c r="F63" s="304">
        <f t="shared" ca="1" si="10"/>
        <v>141.0352556694184</v>
      </c>
      <c r="G63" s="306">
        <f t="shared" ca="1" si="11"/>
        <v>14.791363448350211</v>
      </c>
      <c r="H63" s="307">
        <f t="shared" ca="1" si="12"/>
        <v>78.973334111196024</v>
      </c>
      <c r="I63" s="304">
        <f t="shared" ca="1" si="13"/>
        <v>80.346573874060041</v>
      </c>
      <c r="J63" s="306">
        <f t="shared" ca="1" si="14"/>
        <v>4.112744776691704</v>
      </c>
      <c r="K63" s="307">
        <f t="shared" ca="1" si="15"/>
        <v>22.597460855293495</v>
      </c>
      <c r="L63" s="304">
        <f t="shared" ca="1" si="0"/>
        <v>22.968672288678913</v>
      </c>
      <c r="M63" s="306">
        <f t="shared" ca="1" si="16"/>
        <v>1.3856457755244873</v>
      </c>
      <c r="N63" s="304">
        <f t="shared" ca="1" si="17"/>
        <v>79.391654837684982</v>
      </c>
      <c r="P63" s="310">
        <f t="shared" ca="1" si="18"/>
        <v>7</v>
      </c>
      <c r="Q63" s="304">
        <f t="shared" ca="1" si="19"/>
        <v>1318.759125</v>
      </c>
      <c r="R63" s="306">
        <f t="shared" ca="1" si="20"/>
        <v>0.64808010114786352</v>
      </c>
      <c r="S63" s="307">
        <f t="shared" ca="1" si="21"/>
        <v>8.5858600090121637</v>
      </c>
      <c r="T63" s="304">
        <f t="shared" ca="1" si="1"/>
        <v>84.227286688409336</v>
      </c>
      <c r="U63" s="311">
        <f t="shared" ca="1" si="2"/>
        <v>0</v>
      </c>
      <c r="V63" s="306">
        <f t="shared" ca="1" si="3"/>
        <v>1.222234935217386</v>
      </c>
      <c r="W63" s="304">
        <f t="shared" ca="1" si="4"/>
        <v>26.062918767391615</v>
      </c>
      <c r="Y63" s="314" t="str">
        <f t="shared" ca="1" si="22"/>
        <v/>
      </c>
      <c r="Z63" s="315" t="str">
        <f t="shared" ca="1" si="23"/>
        <v/>
      </c>
      <c r="AA63" s="316" t="str">
        <f t="shared" ca="1" si="24"/>
        <v/>
      </c>
      <c r="AC63" s="310" t="e">
        <f t="shared" ca="1" si="25"/>
        <v>#N/A</v>
      </c>
      <c r="AD63" s="323" t="e">
        <f t="shared" ca="1" si="26"/>
        <v>#N/A</v>
      </c>
      <c r="AE63" s="324">
        <f t="shared" ca="1" si="5"/>
        <v>22.597460855293495</v>
      </c>
      <c r="AG63" s="306">
        <f t="shared" ca="1" si="27"/>
        <v>141.02372012758727</v>
      </c>
      <c r="AH63" s="304">
        <f t="shared" ca="1" si="28"/>
        <v>150.6664581664354</v>
      </c>
    </row>
    <row r="64" spans="1:34" x14ac:dyDescent="0.2">
      <c r="A64" s="347">
        <f t="shared" ca="1" si="6"/>
        <v>0.01</v>
      </c>
      <c r="B64" s="304">
        <f t="shared" ca="1" si="7"/>
        <v>0.60000000000000031</v>
      </c>
      <c r="D64" s="306">
        <f t="shared" ca="1" si="8"/>
        <v>27.72374203183443</v>
      </c>
      <c r="E64" s="307">
        <f t="shared" ca="1" si="9"/>
        <v>138.21126591898962</v>
      </c>
      <c r="F64" s="304">
        <f t="shared" ca="1" si="10"/>
        <v>140.96439230946717</v>
      </c>
      <c r="G64" s="306">
        <f t="shared" ca="1" si="11"/>
        <v>15.068600868668556</v>
      </c>
      <c r="H64" s="307">
        <f t="shared" ca="1" si="12"/>
        <v>80.355446770385925</v>
      </c>
      <c r="I64" s="304">
        <f t="shared" ca="1" si="13"/>
        <v>81.756104101208024</v>
      </c>
      <c r="J64" s="306">
        <f t="shared" ca="1" si="14"/>
        <v>4.2620445982767983</v>
      </c>
      <c r="K64" s="307">
        <f t="shared" ca="1" si="15"/>
        <v>23.394104759701406</v>
      </c>
      <c r="L64" s="304">
        <f t="shared" ca="1" si="0"/>
        <v>23.779174957630143</v>
      </c>
      <c r="M64" s="306">
        <f t="shared" ca="1" si="16"/>
        <v>1.3854248786001082</v>
      </c>
      <c r="N64" s="304">
        <f t="shared" ca="1" si="17"/>
        <v>79.378998376210646</v>
      </c>
      <c r="P64" s="310">
        <f t="shared" ca="1" si="18"/>
        <v>7</v>
      </c>
      <c r="Q64" s="304">
        <f t="shared" ca="1" si="19"/>
        <v>1318.0763750000001</v>
      </c>
      <c r="R64" s="306">
        <f t="shared" ca="1" si="20"/>
        <v>0.64774457612235237</v>
      </c>
      <c r="S64" s="307">
        <f t="shared" ca="1" si="21"/>
        <v>8.57938256325094</v>
      </c>
      <c r="T64" s="304">
        <f t="shared" ca="1" si="1"/>
        <v>84.16374294549172</v>
      </c>
      <c r="U64" s="311">
        <f t="shared" ca="1" si="2"/>
        <v>0</v>
      </c>
      <c r="V64" s="306">
        <f t="shared" ca="1" si="3"/>
        <v>1.2221375703658732</v>
      </c>
      <c r="W64" s="304">
        <f t="shared" ca="1" si="4"/>
        <v>26.983240472530731</v>
      </c>
      <c r="Y64" s="314" t="str">
        <f t="shared" ca="1" si="22"/>
        <v/>
      </c>
      <c r="Z64" s="315" t="str">
        <f t="shared" ca="1" si="23"/>
        <v/>
      </c>
      <c r="AA64" s="316" t="str">
        <f t="shared" ca="1" si="24"/>
        <v/>
      </c>
      <c r="AC64" s="310" t="e">
        <f t="shared" ca="1" si="25"/>
        <v>#N/A</v>
      </c>
      <c r="AD64" s="323" t="e">
        <f t="shared" ca="1" si="26"/>
        <v>#N/A</v>
      </c>
      <c r="AE64" s="324">
        <f t="shared" ca="1" si="5"/>
        <v>23.394104759701406</v>
      </c>
      <c r="AG64" s="306">
        <f t="shared" ca="1" si="27"/>
        <v>140.95282324849953</v>
      </c>
      <c r="AH64" s="304">
        <f t="shared" ca="1" si="28"/>
        <v>150.59515608580492</v>
      </c>
    </row>
    <row r="65" spans="1:34" x14ac:dyDescent="0.2">
      <c r="A65" s="347">
        <f t="shared" ca="1" si="6"/>
        <v>0.01</v>
      </c>
      <c r="B65" s="304">
        <f t="shared" ca="1" si="7"/>
        <v>0.61000000000000032</v>
      </c>
      <c r="D65" s="306">
        <f t="shared" ca="1" si="8"/>
        <v>27.742934971699135</v>
      </c>
      <c r="E65" s="307">
        <f t="shared" ca="1" si="9"/>
        <v>138.13312715574807</v>
      </c>
      <c r="F65" s="304">
        <f t="shared" ca="1" si="10"/>
        <v>140.89155850749182</v>
      </c>
      <c r="G65" s="306">
        <f t="shared" ca="1" si="11"/>
        <v>15.346030218385547</v>
      </c>
      <c r="H65" s="307">
        <f t="shared" ca="1" si="12"/>
        <v>81.73677804194341</v>
      </c>
      <c r="I65" s="304">
        <f t="shared" ca="1" si="13"/>
        <v>83.164905628164604</v>
      </c>
      <c r="J65" s="306">
        <f t="shared" ca="1" si="14"/>
        <v>4.4141177537120688</v>
      </c>
      <c r="K65" s="307">
        <f t="shared" ca="1" si="15"/>
        <v>24.204565883763053</v>
      </c>
      <c r="L65" s="304">
        <f t="shared" ca="1" si="0"/>
        <v>24.603768921957109</v>
      </c>
      <c r="M65" s="306">
        <f t="shared" ca="1" si="16"/>
        <v>1.3852074675301376</v>
      </c>
      <c r="N65" s="304">
        <f t="shared" ca="1" si="17"/>
        <v>79.366541639481909</v>
      </c>
      <c r="P65" s="310">
        <f t="shared" ca="1" si="18"/>
        <v>7</v>
      </c>
      <c r="Q65" s="304">
        <f t="shared" ca="1" si="19"/>
        <v>1317.3936249999999</v>
      </c>
      <c r="R65" s="306">
        <f t="shared" ca="1" si="20"/>
        <v>0.64740905109684121</v>
      </c>
      <c r="S65" s="307">
        <f t="shared" ca="1" si="21"/>
        <v>8.5729084727399716</v>
      </c>
      <c r="T65" s="304">
        <f t="shared" ca="1" si="1"/>
        <v>84.100232117579125</v>
      </c>
      <c r="U65" s="311">
        <f t="shared" ca="1" si="2"/>
        <v>0</v>
      </c>
      <c r="V65" s="306">
        <f t="shared" ca="1" si="3"/>
        <v>1.2220385247403909</v>
      </c>
      <c r="W65" s="304">
        <f t="shared" ca="1" si="4"/>
        <v>27.918927309110291</v>
      </c>
      <c r="Y65" s="314" t="str">
        <f t="shared" ca="1" si="22"/>
        <v/>
      </c>
      <c r="Z65" s="315" t="str">
        <f t="shared" ca="1" si="23"/>
        <v/>
      </c>
      <c r="AA65" s="316" t="str">
        <f t="shared" ca="1" si="24"/>
        <v/>
      </c>
      <c r="AC65" s="310" t="e">
        <f t="shared" ca="1" si="25"/>
        <v>#N/A</v>
      </c>
      <c r="AD65" s="323" t="e">
        <f t="shared" ca="1" si="26"/>
        <v>#N/A</v>
      </c>
      <c r="AE65" s="324">
        <f t="shared" ca="1" si="5"/>
        <v>24.204565883763053</v>
      </c>
      <c r="AG65" s="306">
        <f t="shared" ca="1" si="27"/>
        <v>140.87995614549396</v>
      </c>
      <c r="AH65" s="304">
        <f t="shared" ca="1" si="28"/>
        <v>150.52188981495607</v>
      </c>
    </row>
    <row r="66" spans="1:34" x14ac:dyDescent="0.2">
      <c r="A66" s="347">
        <f t="shared" ca="1" si="6"/>
        <v>0.01</v>
      </c>
      <c r="B66" s="304">
        <f t="shared" ca="1" si="7"/>
        <v>0.62000000000000033</v>
      </c>
      <c r="D66" s="306">
        <f t="shared" ca="1" si="8"/>
        <v>27.761217027062106</v>
      </c>
      <c r="E66" s="307">
        <f t="shared" ca="1" si="9"/>
        <v>138.05315431574289</v>
      </c>
      <c r="F66" s="304">
        <f t="shared" ca="1" si="10"/>
        <v>140.81675535017118</v>
      </c>
      <c r="G66" s="306">
        <f t="shared" ca="1" si="11"/>
        <v>15.623642388656167</v>
      </c>
      <c r="H66" s="307">
        <f t="shared" ca="1" si="12"/>
        <v>83.117309585100841</v>
      </c>
      <c r="I66" s="304">
        <f t="shared" ca="1" si="13"/>
        <v>84.572958764336192</v>
      </c>
      <c r="J66" s="306">
        <f t="shared" ca="1" si="14"/>
        <v>4.5689661167472773</v>
      </c>
      <c r="K66" s="307">
        <f t="shared" ca="1" si="15"/>
        <v>25.028836321898275</v>
      </c>
      <c r="L66" s="304">
        <f t="shared" ca="1" si="0"/>
        <v>25.442446796728476</v>
      </c>
      <c r="M66" s="306">
        <f t="shared" ca="1" si="16"/>
        <v>1.3849934282724299</v>
      </c>
      <c r="N66" s="304">
        <f t="shared" ca="1" si="17"/>
        <v>79.354278093365139</v>
      </c>
      <c r="P66" s="310">
        <f t="shared" ca="1" si="18"/>
        <v>7</v>
      </c>
      <c r="Q66" s="304">
        <f t="shared" ca="1" si="19"/>
        <v>1316.710875</v>
      </c>
      <c r="R66" s="306">
        <f t="shared" ca="1" si="20"/>
        <v>0.64707352607133006</v>
      </c>
      <c r="S66" s="307">
        <f t="shared" ca="1" si="21"/>
        <v>8.5664377374792586</v>
      </c>
      <c r="T66" s="304">
        <f t="shared" ca="1" si="1"/>
        <v>84.036754204671524</v>
      </c>
      <c r="U66" s="311">
        <f t="shared" ca="1" si="2"/>
        <v>0</v>
      </c>
      <c r="V66" s="306">
        <f t="shared" ca="1" si="3"/>
        <v>1.2219377997160523</v>
      </c>
      <c r="W66" s="304">
        <f t="shared" ca="1" si="4"/>
        <v>28.869933353709321</v>
      </c>
      <c r="Y66" s="314" t="str">
        <f t="shared" ca="1" si="22"/>
        <v/>
      </c>
      <c r="Z66" s="315" t="str">
        <f t="shared" ca="1" si="23"/>
        <v/>
      </c>
      <c r="AA66" s="316" t="str">
        <f t="shared" ca="1" si="24"/>
        <v/>
      </c>
      <c r="AC66" s="310" t="e">
        <f t="shared" ca="1" si="25"/>
        <v>#N/A</v>
      </c>
      <c r="AD66" s="323" t="e">
        <f t="shared" ca="1" si="26"/>
        <v>#N/A</v>
      </c>
      <c r="AE66" s="324">
        <f t="shared" ca="1" si="5"/>
        <v>25.028836321898275</v>
      </c>
      <c r="AG66" s="306">
        <f t="shared" ca="1" si="27"/>
        <v>140.80511989094077</v>
      </c>
      <c r="AH66" s="304">
        <f t="shared" ca="1" si="28"/>
        <v>150.446660232206</v>
      </c>
    </row>
    <row r="67" spans="1:34" x14ac:dyDescent="0.2">
      <c r="A67" s="347">
        <f t="shared" ca="1" si="6"/>
        <v>0.01</v>
      </c>
      <c r="B67" s="304">
        <f t="shared" ca="1" si="7"/>
        <v>0.63000000000000034</v>
      </c>
      <c r="D67" s="306">
        <f t="shared" ca="1" si="8"/>
        <v>27.77860481433785</v>
      </c>
      <c r="E67" s="307">
        <f t="shared" ca="1" si="9"/>
        <v>137.97134565291253</v>
      </c>
      <c r="F67" s="304">
        <f t="shared" ca="1" si="10"/>
        <v>140.73998403689913</v>
      </c>
      <c r="G67" s="306">
        <f t="shared" ca="1" si="11"/>
        <v>15.901428436799545</v>
      </c>
      <c r="H67" s="307">
        <f t="shared" ca="1" si="12"/>
        <v>84.497023041629973</v>
      </c>
      <c r="I67" s="304">
        <f t="shared" ca="1" si="13"/>
        <v>85.980243830942953</v>
      </c>
      <c r="J67" s="306">
        <f t="shared" ca="1" si="14"/>
        <v>4.7265914708745562</v>
      </c>
      <c r="K67" s="307">
        <f t="shared" ca="1" si="15"/>
        <v>25.866907985031929</v>
      </c>
      <c r="L67" s="304">
        <f t="shared" ca="1" si="0"/>
        <v>26.295201000156904</v>
      </c>
      <c r="M67" s="306">
        <f t="shared" ca="1" si="16"/>
        <v>1.3847826522991231</v>
      </c>
      <c r="N67" s="304">
        <f t="shared" ca="1" si="17"/>
        <v>79.342201519671903</v>
      </c>
      <c r="P67" s="310">
        <f t="shared" ca="1" si="18"/>
        <v>7</v>
      </c>
      <c r="Q67" s="304">
        <f t="shared" ca="1" si="19"/>
        <v>1316.028125</v>
      </c>
      <c r="R67" s="306">
        <f t="shared" ca="1" si="20"/>
        <v>0.64673800104581891</v>
      </c>
      <c r="S67" s="307">
        <f t="shared" ca="1" si="21"/>
        <v>8.5599703574688011</v>
      </c>
      <c r="T67" s="304">
        <f t="shared" ca="1" si="1"/>
        <v>83.973309206768946</v>
      </c>
      <c r="U67" s="311">
        <f t="shared" ca="1" si="2"/>
        <v>0</v>
      </c>
      <c r="V67" s="306">
        <f t="shared" ca="1" si="3"/>
        <v>1.221835396696956</v>
      </c>
      <c r="W67" s="304">
        <f t="shared" ca="1" si="4"/>
        <v>29.836211698828404</v>
      </c>
      <c r="Y67" s="314" t="str">
        <f t="shared" ca="1" si="22"/>
        <v/>
      </c>
      <c r="Z67" s="315" t="str">
        <f t="shared" ca="1" si="23"/>
        <v/>
      </c>
      <c r="AA67" s="316" t="str">
        <f t="shared" ca="1" si="24"/>
        <v/>
      </c>
      <c r="AC67" s="310" t="e">
        <f t="shared" ca="1" si="25"/>
        <v>#N/A</v>
      </c>
      <c r="AD67" s="323" t="e">
        <f t="shared" ca="1" si="26"/>
        <v>#N/A</v>
      </c>
      <c r="AE67" s="324">
        <f t="shared" ca="1" si="5"/>
        <v>25.866907985031929</v>
      </c>
      <c r="AG67" s="306">
        <f t="shared" ca="1" si="27"/>
        <v>140.72831567056411</v>
      </c>
      <c r="AH67" s="304">
        <f t="shared" ca="1" si="28"/>
        <v>150.36946833854526</v>
      </c>
    </row>
    <row r="68" spans="1:34" x14ac:dyDescent="0.2">
      <c r="A68" s="347">
        <f t="shared" ca="1" si="6"/>
        <v>0.01</v>
      </c>
      <c r="B68" s="304">
        <f t="shared" ca="1" si="7"/>
        <v>0.64000000000000035</v>
      </c>
      <c r="D68" s="306">
        <f t="shared" ca="1" si="8"/>
        <v>27.795114160326094</v>
      </c>
      <c r="E68" s="307">
        <f t="shared" ca="1" si="9"/>
        <v>137.88769967423815</v>
      </c>
      <c r="F68" s="304">
        <f t="shared" ca="1" si="10"/>
        <v>140.66124588044303</v>
      </c>
      <c r="G68" s="306">
        <f t="shared" ca="1" si="11"/>
        <v>16.179379578402806</v>
      </c>
      <c r="H68" s="307">
        <f t="shared" ca="1" si="12"/>
        <v>85.87590003837235</v>
      </c>
      <c r="I68" s="304">
        <f t="shared" ca="1" si="13"/>
        <v>87.386741162161201</v>
      </c>
      <c r="J68" s="306">
        <f t="shared" ca="1" si="14"/>
        <v>4.8869955109505678</v>
      </c>
      <c r="K68" s="307">
        <f t="shared" ca="1" si="15"/>
        <v>26.71877260043194</v>
      </c>
      <c r="L68" s="304">
        <f t="shared" ref="L68:L131" ca="1" si="29">SQRT(pos_x^2+pos_z^2)</f>
        <v>27.16202375371989</v>
      </c>
      <c r="M68" s="306">
        <f t="shared" ca="1" si="16"/>
        <v>1.3845750362447407</v>
      </c>
      <c r="N68" s="304">
        <f t="shared" ca="1" si="17"/>
        <v>79.330305995996625</v>
      </c>
      <c r="P68" s="310">
        <f t="shared" ca="1" si="18"/>
        <v>7</v>
      </c>
      <c r="Q68" s="304">
        <f t="shared" ca="1" si="19"/>
        <v>1315.3453749999999</v>
      </c>
      <c r="R68" s="306">
        <f t="shared" ca="1" si="20"/>
        <v>0.64640247602030765</v>
      </c>
      <c r="S68" s="307">
        <f t="shared" ca="1" si="21"/>
        <v>8.5535063327085972</v>
      </c>
      <c r="T68" s="304">
        <f t="shared" ref="T68:T131" ca="1" si="30">m*g</f>
        <v>83.909897123871346</v>
      </c>
      <c r="U68" s="311">
        <f t="shared" ref="U68:U131" ca="1" si="31">IF(pos_xz&lt;L_rampe,Poids*COS(Beta),0)</f>
        <v>0</v>
      </c>
      <c r="V68" s="306">
        <f t="shared" ref="V68:V131" ca="1" si="32">Rho_moyen*(20000-Alt_rampe-pos_z)/(20000+Alt_rampe+pos_z)</f>
        <v>1.2217313171161812</v>
      </c>
      <c r="W68" s="304">
        <f t="shared" ref="W68:W131" ca="1" si="33">1/2*Rho*Sref*Cx*vit_xz^2</f>
        <v>30.817714456760392</v>
      </c>
      <c r="Y68" s="314" t="str">
        <f t="shared" ca="1" si="22"/>
        <v/>
      </c>
      <c r="Z68" s="315" t="str">
        <f t="shared" ca="1" si="23"/>
        <v/>
      </c>
      <c r="AA68" s="316" t="str">
        <f t="shared" ca="1" si="24"/>
        <v/>
      </c>
      <c r="AC68" s="310" t="e">
        <f t="shared" ca="1" si="25"/>
        <v>#N/A</v>
      </c>
      <c r="AD68" s="323" t="e">
        <f t="shared" ca="1" si="26"/>
        <v>#N/A</v>
      </c>
      <c r="AE68" s="324">
        <f t="shared" ref="AE68:AE131" ca="1" si="34">IF(t&lt;T_para, pos_z, NA())</f>
        <v>26.71877260043194</v>
      </c>
      <c r="AG68" s="306">
        <f t="shared" ca="1" si="27"/>
        <v>140.64954478405934</v>
      </c>
      <c r="AH68" s="304">
        <f t="shared" ca="1" si="28"/>
        <v>150.29031525766058</v>
      </c>
    </row>
    <row r="69" spans="1:34" x14ac:dyDescent="0.2">
      <c r="A69" s="347">
        <f t="shared" ref="A69:A132" ca="1" si="35">IF(B68+0.01&lt;=T_ini+ROUNDUP(Temps_fin_propu,0), 0.01, IF(K68&gt;0, 0.1, 0.0001))</f>
        <v>0.01</v>
      </c>
      <c r="B69" s="304">
        <f t="shared" ref="B69:B132" ca="1" si="36">B68+pas</f>
        <v>0.65000000000000036</v>
      </c>
      <c r="D69" s="306">
        <f t="shared" ref="D69:D132" ca="1" si="37">IF(AND(L68&lt;L_rampe,Poussee&lt;Poids*SIN(M68)),0,(-W68+Poussee)/m*COS(M68)-U68/m*SIN(M68))</f>
        <v>27.810760154501658</v>
      </c>
      <c r="E69" s="307">
        <f t="shared" ref="E69:E132" ca="1" si="38">IF(AND(L68&lt;L_rampe,Poussee&lt;Poids*SIN(M68)),0,(-W68+Poussee)/m*SIN(M68)+U68/m*COS(M68)-Poids/m)</f>
        <v>137.80221513136033</v>
      </c>
      <c r="F69" s="304">
        <f t="shared" ref="F69:F132" ca="1" si="39">SQRT(acc_x^2+acc_z^2)</f>
        <v>140.58054230753604</v>
      </c>
      <c r="G69" s="306">
        <f t="shared" ref="G69:G132" ca="1" si="40">G68+acc_x*pas</f>
        <v>16.457487179947822</v>
      </c>
      <c r="H69" s="307">
        <f t="shared" ref="H69:H132" ca="1" si="41">H68+acc_z*pas</f>
        <v>87.253922189685952</v>
      </c>
      <c r="I69" s="304">
        <f t="shared" ref="I69:I132" ca="1" si="42">SQRT(vit_x^2+vit_z^2)</f>
        <v>88.792431106271195</v>
      </c>
      <c r="J69" s="306">
        <f t="shared" ref="J69:J132" ca="1" si="43">J68+0.5*(vit_x+G68)*pas*(K68&gt;=0)</f>
        <v>5.0501798447423214</v>
      </c>
      <c r="K69" s="307">
        <f t="shared" ref="K69:K132" ca="1" si="44">K68+0.5*(vit_z+H68)*pas</f>
        <v>27.584421711572233</v>
      </c>
      <c r="L69" s="304">
        <f t="shared" ca="1" si="29"/>
        <v>28.042907082292651</v>
      </c>
      <c r="M69" s="306">
        <f t="shared" ref="M69:M132" ca="1" si="45">IF(AND(L68&gt;L_rampe,G69&gt;0),ATAN2(G69,H69),$M$4)</f>
        <v>1.3843704815820115</v>
      </c>
      <c r="N69" s="304">
        <f t="shared" ref="N69:N132" ca="1" si="46">DEGREES(Beta)</f>
        <v>79.318585877142525</v>
      </c>
      <c r="P69" s="310">
        <f t="shared" ref="P69:P132" ca="1" si="47">MATCH(t-pas/2-T_ini,CdP_t)</f>
        <v>7</v>
      </c>
      <c r="Q69" s="304">
        <f t="shared" ref="Q69:Q132" ca="1" si="48">(INDEX(CdP,2,i_P+1)-INDEX(CdP,2,i_P+0))/(INDEX(CdP,1,i_P+1)-INDEX(CdP,1,i_P+0))*(t-pas/2-T_ini-INDEX(CdP,1,i_P+0))+INDEX(CdP,2,i_P+0)</f>
        <v>1314.6626249999999</v>
      </c>
      <c r="R69" s="306">
        <f t="shared" ref="R69:R132" ca="1" si="49">Poussee/(g*ISP)</f>
        <v>0.6460669509947965</v>
      </c>
      <c r="S69" s="307">
        <f t="shared" ref="S69:S132" ca="1" si="50">S68-Débit*pas</f>
        <v>8.5470456631986487</v>
      </c>
      <c r="T69" s="304">
        <f t="shared" ca="1" si="30"/>
        <v>83.846517955978754</v>
      </c>
      <c r="U69" s="311">
        <f t="shared" ca="1" si="31"/>
        <v>0</v>
      </c>
      <c r="V69" s="306">
        <f t="shared" ca="1" si="32"/>
        <v>1.2216255624357728</v>
      </c>
      <c r="W69" s="304">
        <f t="shared" ca="1" si="33"/>
        <v>31.814392763593677</v>
      </c>
      <c r="Y69" s="314" t="str">
        <f t="shared" ref="Y69:Y132" ca="1" si="51">IF(AND(pos_z&lt;=0,K68&gt;0),"Impact balistique","") &amp; IF(AND(H70&lt;0,vit_z&gt;=0),"Apogée","") &amp; IF(AND(Poussee=0,Q68&gt;0),"Fin de propulsion","") &amp; IF(AND(L70&gt;L_rampe,pos_xz&lt;=L_rampe),"Sortie de rampe","")</f>
        <v/>
      </c>
      <c r="Z69" s="315" t="str">
        <f t="shared" ref="Z69:Z132" ca="1" si="52">IF(ABS(t-T_para)&lt;pas/2,"Para","")</f>
        <v/>
      </c>
      <c r="AA69" s="316" t="str">
        <f t="shared" ref="AA69:AA132" ca="1" si="53">IF(ABS(t-T_satellite)&lt;pas/2,"Satellite","")</f>
        <v/>
      </c>
      <c r="AC69" s="310" t="e">
        <f t="shared" ref="AC69:AC132" ca="1" si="54">IF(ABS(t-ROUND(t,0))&lt;0.001,t,NA())</f>
        <v>#N/A</v>
      </c>
      <c r="AD69" s="323" t="e">
        <f t="shared" ref="AD69:AD132" ca="1" si="55">IF(ABS(t-ROUND(t,0))&lt;0.001,pos_x,NA())</f>
        <v>#N/A</v>
      </c>
      <c r="AE69" s="324">
        <f t="shared" ca="1" si="34"/>
        <v>27.584421711572233</v>
      </c>
      <c r="AG69" s="306">
        <f t="shared" ref="AG69:AG132" ca="1" si="56">IF(AND(L68&lt;L_rampe,Poussee&lt;Poids*SIN(M68)),0,(-W68+Poussee)/m-Poids*SIN(M68)/m)</f>
        <v>140.56880864564769</v>
      </c>
      <c r="AH69" s="304">
        <f t="shared" ref="AH69:AH132" ca="1" si="57">IF(AND(L68&lt;L_rampe,Poussee&lt;Poids*SIN(M68)), g*SIN(M68), (-W68+Poussee)/m)</f>
        <v>150.20920223594231</v>
      </c>
    </row>
    <row r="70" spans="1:34" x14ac:dyDescent="0.2">
      <c r="A70" s="347">
        <f t="shared" ca="1" si="35"/>
        <v>0.01</v>
      </c>
      <c r="B70" s="304">
        <f t="shared" ca="1" si="36"/>
        <v>0.66000000000000036</v>
      </c>
      <c r="D70" s="306">
        <f t="shared" ca="1" si="37"/>
        <v>27.825557197174177</v>
      </c>
      <c r="E70" s="307">
        <f t="shared" ca="1" si="38"/>
        <v>137.71489101283262</v>
      </c>
      <c r="F70" s="304">
        <f t="shared" ca="1" si="39"/>
        <v>140.49787485940695</v>
      </c>
      <c r="G70" s="306">
        <f t="shared" ca="1" si="40"/>
        <v>16.735742751919563</v>
      </c>
      <c r="H70" s="307">
        <f t="shared" ca="1" si="41"/>
        <v>88.631071099814278</v>
      </c>
      <c r="I70" s="304">
        <f t="shared" ca="1" si="42"/>
        <v>90.197294026809701</v>
      </c>
      <c r="J70" s="306">
        <f t="shared" ca="1" si="43"/>
        <v>5.2161459944016579</v>
      </c>
      <c r="K70" s="307">
        <f t="shared" ca="1" si="44"/>
        <v>28.463846678019735</v>
      </c>
      <c r="L70" s="304">
        <f t="shared" ca="1" si="29"/>
        <v>28.937842814292974</v>
      </c>
      <c r="M70" s="306">
        <f t="shared" ca="1" si="45"/>
        <v>1.3841688943228261</v>
      </c>
      <c r="N70" s="304">
        <f t="shared" ca="1" si="46"/>
        <v>79.307035777987593</v>
      </c>
      <c r="P70" s="310">
        <f t="shared" ca="1" si="47"/>
        <v>7</v>
      </c>
      <c r="Q70" s="304">
        <f t="shared" ca="1" si="48"/>
        <v>1313.979875</v>
      </c>
      <c r="R70" s="306">
        <f t="shared" ca="1" si="49"/>
        <v>0.64573142596928534</v>
      </c>
      <c r="S70" s="307">
        <f t="shared" ca="1" si="50"/>
        <v>8.5405883489389556</v>
      </c>
      <c r="T70" s="304">
        <f t="shared" ca="1" si="30"/>
        <v>83.783171703091156</v>
      </c>
      <c r="U70" s="311">
        <f t="shared" ca="1" si="31"/>
        <v>0</v>
      </c>
      <c r="V70" s="306">
        <f t="shared" ca="1" si="32"/>
        <v>1.2215181341467327</v>
      </c>
      <c r="W70" s="304">
        <f t="shared" ca="1" si="33"/>
        <v>32.826196783348074</v>
      </c>
      <c r="Y70" s="314" t="str">
        <f t="shared" ca="1" si="51"/>
        <v/>
      </c>
      <c r="Z70" s="315" t="str">
        <f t="shared" ca="1" si="52"/>
        <v/>
      </c>
      <c r="AA70" s="316" t="str">
        <f t="shared" ca="1" si="53"/>
        <v/>
      </c>
      <c r="AC70" s="310" t="e">
        <f t="shared" ca="1" si="54"/>
        <v>#N/A</v>
      </c>
      <c r="AD70" s="323" t="e">
        <f t="shared" ca="1" si="55"/>
        <v>#N/A</v>
      </c>
      <c r="AE70" s="324">
        <f t="shared" ca="1" si="34"/>
        <v>28.463846678019735</v>
      </c>
      <c r="AG70" s="306">
        <f t="shared" ca="1" si="56"/>
        <v>140.4861087845714</v>
      </c>
      <c r="AH70" s="304">
        <f t="shared" ca="1" si="57"/>
        <v>150.12613064247461</v>
      </c>
    </row>
    <row r="71" spans="1:34" x14ac:dyDescent="0.2">
      <c r="A71" s="347">
        <f t="shared" ca="1" si="35"/>
        <v>0.01</v>
      </c>
      <c r="B71" s="304">
        <f t="shared" ca="1" si="36"/>
        <v>0.67000000000000037</v>
      </c>
      <c r="D71" s="306">
        <f t="shared" ca="1" si="37"/>
        <v>27.839519043902989</v>
      </c>
      <c r="E71" s="307">
        <f t="shared" ca="1" si="38"/>
        <v>137.6257265369527</v>
      </c>
      <c r="F71" s="304">
        <f t="shared" ca="1" si="39"/>
        <v>140.41324519225358</v>
      </c>
      <c r="G71" s="306">
        <f t="shared" ca="1" si="40"/>
        <v>17.014137942358595</v>
      </c>
      <c r="H71" s="307">
        <f t="shared" ca="1" si="41"/>
        <v>90.00732836518381</v>
      </c>
      <c r="I71" s="304">
        <f t="shared" ca="1" si="42"/>
        <v>91.601310303726706</v>
      </c>
      <c r="J71" s="306">
        <f t="shared" ca="1" si="43"/>
        <v>5.3848953978730485</v>
      </c>
      <c r="K71" s="307">
        <f t="shared" ca="1" si="44"/>
        <v>29.357038675344725</v>
      </c>
      <c r="L71" s="304">
        <f t="shared" ca="1" si="29"/>
        <v>29.846822581838094</v>
      </c>
      <c r="M71" s="306">
        <f t="shared" ca="1" si="45"/>
        <v>1.3839701847420203</v>
      </c>
      <c r="N71" s="304">
        <f t="shared" ca="1" si="46"/>
        <v>79.295650557658604</v>
      </c>
      <c r="P71" s="310">
        <f t="shared" ca="1" si="47"/>
        <v>7</v>
      </c>
      <c r="Q71" s="304">
        <f t="shared" ca="1" si="48"/>
        <v>1313.2971250000001</v>
      </c>
      <c r="R71" s="306">
        <f t="shared" ca="1" si="49"/>
        <v>0.6453959009437743</v>
      </c>
      <c r="S71" s="307">
        <f t="shared" ca="1" si="50"/>
        <v>8.5341343899295179</v>
      </c>
      <c r="T71" s="304">
        <f t="shared" ca="1" si="30"/>
        <v>83.71985836520858</v>
      </c>
      <c r="U71" s="311">
        <f t="shared" ca="1" si="31"/>
        <v>0</v>
      </c>
      <c r="V71" s="306">
        <f t="shared" ca="1" si="32"/>
        <v>1.2214090337689965</v>
      </c>
      <c r="W71" s="304">
        <f t="shared" ca="1" si="33"/>
        <v>33.853075712242244</v>
      </c>
      <c r="Y71" s="314" t="str">
        <f t="shared" ca="1" si="51"/>
        <v/>
      </c>
      <c r="Z71" s="315" t="str">
        <f t="shared" ca="1" si="52"/>
        <v/>
      </c>
      <c r="AA71" s="316" t="str">
        <f t="shared" ca="1" si="53"/>
        <v/>
      </c>
      <c r="AC71" s="310" t="e">
        <f t="shared" ca="1" si="54"/>
        <v>#N/A</v>
      </c>
      <c r="AD71" s="323" t="e">
        <f t="shared" ca="1" si="55"/>
        <v>#N/A</v>
      </c>
      <c r="AE71" s="324">
        <f t="shared" ca="1" si="34"/>
        <v>29.357038675344725</v>
      </c>
      <c r="AG71" s="306">
        <f t="shared" ca="1" si="56"/>
        <v>140.40144684553459</v>
      </c>
      <c r="AH71" s="304">
        <f t="shared" ca="1" si="57"/>
        <v>150.04110196901027</v>
      </c>
    </row>
    <row r="72" spans="1:34" x14ac:dyDescent="0.2">
      <c r="A72" s="347">
        <f t="shared" ca="1" si="35"/>
        <v>0.01</v>
      </c>
      <c r="B72" s="304">
        <f t="shared" ca="1" si="36"/>
        <v>0.68000000000000038</v>
      </c>
      <c r="D72" s="306">
        <f t="shared" ca="1" si="37"/>
        <v>27.852658846511044</v>
      </c>
      <c r="E72" s="307">
        <f t="shared" ca="1" si="38"/>
        <v>137.53472114511587</v>
      </c>
      <c r="F72" s="304">
        <f t="shared" ca="1" si="39"/>
        <v>140.32665507766126</v>
      </c>
      <c r="G72" s="306">
        <f t="shared" ca="1" si="40"/>
        <v>17.292664530823703</v>
      </c>
      <c r="H72" s="307">
        <f t="shared" ca="1" si="41"/>
        <v>91.382675576634966</v>
      </c>
      <c r="I72" s="304">
        <f t="shared" ca="1" si="42"/>
        <v>93.004460334545911</v>
      </c>
      <c r="J72" s="306">
        <f t="shared" ca="1" si="43"/>
        <v>5.5564294102389598</v>
      </c>
      <c r="K72" s="307">
        <f t="shared" ca="1" si="44"/>
        <v>30.263988695053818</v>
      </c>
      <c r="L72" s="304">
        <f t="shared" ca="1" si="29"/>
        <v>30.769837820913416</v>
      </c>
      <c r="M72" s="306">
        <f t="shared" ca="1" si="45"/>
        <v>1.3837742671219215</v>
      </c>
      <c r="N72" s="304">
        <f t="shared" ca="1" si="46"/>
        <v>79.284425304894697</v>
      </c>
      <c r="P72" s="310">
        <f t="shared" ca="1" si="47"/>
        <v>7</v>
      </c>
      <c r="Q72" s="304">
        <f t="shared" ca="1" si="48"/>
        <v>1312.6143749999999</v>
      </c>
      <c r="R72" s="306">
        <f t="shared" ca="1" si="49"/>
        <v>0.64506037591826304</v>
      </c>
      <c r="S72" s="307">
        <f t="shared" ca="1" si="50"/>
        <v>8.5276837861703356</v>
      </c>
      <c r="T72" s="304">
        <f t="shared" ca="1" si="30"/>
        <v>83.656577942330998</v>
      </c>
      <c r="U72" s="311">
        <f t="shared" ca="1" si="31"/>
        <v>0</v>
      </c>
      <c r="V72" s="306">
        <f t="shared" ca="1" si="32"/>
        <v>1.2212982628514168</v>
      </c>
      <c r="W72" s="304">
        <f t="shared" ca="1" si="33"/>
        <v>34.894977783092642</v>
      </c>
      <c r="Y72" s="314" t="str">
        <f t="shared" ca="1" si="51"/>
        <v/>
      </c>
      <c r="Z72" s="315" t="str">
        <f t="shared" ca="1" si="52"/>
        <v/>
      </c>
      <c r="AA72" s="316" t="str">
        <f t="shared" ca="1" si="53"/>
        <v/>
      </c>
      <c r="AC72" s="310" t="e">
        <f t="shared" ca="1" si="54"/>
        <v>#N/A</v>
      </c>
      <c r="AD72" s="323" t="e">
        <f t="shared" ca="1" si="55"/>
        <v>#N/A</v>
      </c>
      <c r="AE72" s="324">
        <f t="shared" ca="1" si="34"/>
        <v>30.263988695053818</v>
      </c>
      <c r="AG72" s="306">
        <f t="shared" ca="1" si="56"/>
        <v>140.3148245890923</v>
      </c>
      <c r="AH72" s="304">
        <f t="shared" ca="1" si="57"/>
        <v>149.95411782992852</v>
      </c>
    </row>
    <row r="73" spans="1:34" x14ac:dyDescent="0.2">
      <c r="A73" s="347">
        <f t="shared" ca="1" si="35"/>
        <v>0.01</v>
      </c>
      <c r="B73" s="304">
        <f t="shared" ca="1" si="36"/>
        <v>0.69000000000000039</v>
      </c>
      <c r="D73" s="306">
        <f t="shared" ca="1" si="37"/>
        <v>27.864989191005865</v>
      </c>
      <c r="E73" s="307">
        <f t="shared" ca="1" si="38"/>
        <v>137.44187449564407</v>
      </c>
      <c r="F73" s="304">
        <f t="shared" ca="1" si="39"/>
        <v>140.23810640297185</v>
      </c>
      <c r="G73" s="306">
        <f t="shared" ca="1" si="40"/>
        <v>17.571314422733764</v>
      </c>
      <c r="H73" s="307">
        <f t="shared" ca="1" si="41"/>
        <v>92.75709432159141</v>
      </c>
      <c r="I73" s="304">
        <f t="shared" ca="1" si="42"/>
        <v>94.406724535528596</v>
      </c>
      <c r="J73" s="306">
        <f t="shared" ca="1" si="43"/>
        <v>5.7307493050067473</v>
      </c>
      <c r="K73" s="307">
        <f t="shared" ca="1" si="44"/>
        <v>31.18468754454495</v>
      </c>
      <c r="L73" s="304">
        <f t="shared" ca="1" si="29"/>
        <v>31.706879771553243</v>
      </c>
      <c r="M73" s="306">
        <f t="shared" ca="1" si="45"/>
        <v>1.3835810595158105</v>
      </c>
      <c r="N73" s="304">
        <f t="shared" ca="1" si="46"/>
        <v>79.273355324494702</v>
      </c>
      <c r="P73" s="310">
        <f t="shared" ca="1" si="47"/>
        <v>7</v>
      </c>
      <c r="Q73" s="304">
        <f t="shared" ca="1" si="48"/>
        <v>1311.9316249999999</v>
      </c>
      <c r="R73" s="306">
        <f t="shared" ca="1" si="49"/>
        <v>0.64472485089275189</v>
      </c>
      <c r="S73" s="307">
        <f t="shared" ca="1" si="50"/>
        <v>8.5212365376614088</v>
      </c>
      <c r="T73" s="304">
        <f t="shared" ca="1" si="30"/>
        <v>83.593330434458423</v>
      </c>
      <c r="U73" s="311">
        <f t="shared" ca="1" si="31"/>
        <v>0</v>
      </c>
      <c r="V73" s="306">
        <f t="shared" ca="1" si="32"/>
        <v>1.2211858229717367</v>
      </c>
      <c r="W73" s="304">
        <f t="shared" ca="1" si="33"/>
        <v>35.951850269843135</v>
      </c>
      <c r="Y73" s="314" t="str">
        <f t="shared" ca="1" si="51"/>
        <v/>
      </c>
      <c r="Z73" s="315" t="str">
        <f t="shared" ca="1" si="52"/>
        <v/>
      </c>
      <c r="AA73" s="316" t="str">
        <f t="shared" ca="1" si="53"/>
        <v/>
      </c>
      <c r="AC73" s="310" t="e">
        <f t="shared" ca="1" si="54"/>
        <v>#N/A</v>
      </c>
      <c r="AD73" s="323" t="e">
        <f t="shared" ca="1" si="55"/>
        <v>#N/A</v>
      </c>
      <c r="AE73" s="324">
        <f t="shared" ca="1" si="34"/>
        <v>31.18468754454495</v>
      </c>
      <c r="AG73" s="306">
        <f t="shared" ca="1" si="56"/>
        <v>140.2262438919918</v>
      </c>
      <c r="AH73" s="304">
        <f t="shared" ca="1" si="57"/>
        <v>149.86517996217728</v>
      </c>
    </row>
    <row r="74" spans="1:34" x14ac:dyDescent="0.2">
      <c r="A74" s="347">
        <f t="shared" ca="1" si="35"/>
        <v>0.01</v>
      </c>
      <c r="B74" s="304">
        <f t="shared" ca="1" si="36"/>
        <v>0.7000000000000004</v>
      </c>
      <c r="D74" s="306">
        <f t="shared" ca="1" si="37"/>
        <v>27.876522132682634</v>
      </c>
      <c r="E74" s="307">
        <f t="shared" ca="1" si="38"/>
        <v>137.34718645804531</v>
      </c>
      <c r="F74" s="304">
        <f t="shared" ca="1" si="39"/>
        <v>140.14760117160412</v>
      </c>
      <c r="G74" s="306">
        <f t="shared" ca="1" si="40"/>
        <v>17.850079644060589</v>
      </c>
      <c r="H74" s="307">
        <f t="shared" ca="1" si="41"/>
        <v>94.130566186171862</v>
      </c>
      <c r="I74" s="304">
        <f t="shared" ca="1" si="42"/>
        <v>95.80808334284005</v>
      </c>
      <c r="J74" s="306">
        <f t="shared" ca="1" si="43"/>
        <v>5.9078562753407189</v>
      </c>
      <c r="K74" s="307">
        <f t="shared" ca="1" si="44"/>
        <v>32.119125847083765</v>
      </c>
      <c r="L74" s="304">
        <f t="shared" ca="1" si="29"/>
        <v>32.65793947803332</v>
      </c>
      <c r="M74" s="306">
        <f t="shared" ca="1" si="45"/>
        <v>1.3833904835286353</v>
      </c>
      <c r="N74" s="304">
        <f t="shared" ca="1" si="46"/>
        <v>79.262436124753023</v>
      </c>
      <c r="P74" s="310">
        <f t="shared" ca="1" si="47"/>
        <v>7</v>
      </c>
      <c r="Q74" s="304">
        <f t="shared" ca="1" si="48"/>
        <v>1311.248875</v>
      </c>
      <c r="R74" s="306">
        <f t="shared" ca="1" si="49"/>
        <v>0.64438932586724074</v>
      </c>
      <c r="S74" s="307">
        <f t="shared" ca="1" si="50"/>
        <v>8.5147926444027355</v>
      </c>
      <c r="T74" s="304">
        <f t="shared" ca="1" si="30"/>
        <v>83.530115841590842</v>
      </c>
      <c r="U74" s="311">
        <f t="shared" ca="1" si="31"/>
        <v>0</v>
      </c>
      <c r="V74" s="306">
        <f t="shared" ca="1" si="32"/>
        <v>1.2210717157365634</v>
      </c>
      <c r="W74" s="304">
        <f t="shared" ca="1" si="33"/>
        <v>37.023639492224618</v>
      </c>
      <c r="Y74" s="314" t="str">
        <f t="shared" ca="1" si="51"/>
        <v/>
      </c>
      <c r="Z74" s="315" t="str">
        <f t="shared" ca="1" si="52"/>
        <v/>
      </c>
      <c r="AA74" s="316" t="str">
        <f t="shared" ca="1" si="53"/>
        <v/>
      </c>
      <c r="AC74" s="310" t="e">
        <f t="shared" ca="1" si="54"/>
        <v>#N/A</v>
      </c>
      <c r="AD74" s="323" t="e">
        <f t="shared" ca="1" si="55"/>
        <v>#N/A</v>
      </c>
      <c r="AE74" s="324">
        <f t="shared" ca="1" si="34"/>
        <v>32.119125847083765</v>
      </c>
      <c r="AG74" s="306">
        <f t="shared" ca="1" si="56"/>
        <v>140.13570674746745</v>
      </c>
      <c r="AH74" s="304">
        <f t="shared" ca="1" si="57"/>
        <v>149.77429022519806</v>
      </c>
    </row>
    <row r="75" spans="1:34" x14ac:dyDescent="0.2">
      <c r="A75" s="347">
        <f t="shared" ca="1" si="35"/>
        <v>0.01</v>
      </c>
      <c r="B75" s="304">
        <f t="shared" ca="1" si="36"/>
        <v>0.71000000000000041</v>
      </c>
      <c r="D75" s="306">
        <f t="shared" ca="1" si="37"/>
        <v>27.887269228657473</v>
      </c>
      <c r="E75" s="307">
        <f t="shared" ca="1" si="38"/>
        <v>137.25065710766668</v>
      </c>
      <c r="F75" s="304">
        <f t="shared" ca="1" si="39"/>
        <v>140.05514150333047</v>
      </c>
      <c r="G75" s="306">
        <f t="shared" ca="1" si="40"/>
        <v>18.128952336347165</v>
      </c>
      <c r="H75" s="307">
        <f t="shared" ca="1" si="41"/>
        <v>95.503072757248532</v>
      </c>
      <c r="I75" s="304">
        <f t="shared" ca="1" si="42"/>
        <v>97.20851721371875</v>
      </c>
      <c r="J75" s="306">
        <f t="shared" ca="1" si="43"/>
        <v>6.0877514352427573</v>
      </c>
      <c r="K75" s="307">
        <f t="shared" ca="1" si="44"/>
        <v>33.067294041800871</v>
      </c>
      <c r="L75" s="304">
        <f t="shared" ca="1" si="29"/>
        <v>33.623007789075317</v>
      </c>
      <c r="M75" s="306">
        <f t="shared" ca="1" si="45"/>
        <v>1.3832024641134915</v>
      </c>
      <c r="N75" s="304">
        <f t="shared" ca="1" si="46"/>
        <v>79.251663405798766</v>
      </c>
      <c r="P75" s="310">
        <f t="shared" ca="1" si="47"/>
        <v>7</v>
      </c>
      <c r="Q75" s="304">
        <f t="shared" ca="1" si="48"/>
        <v>1310.5661249999998</v>
      </c>
      <c r="R75" s="306">
        <f t="shared" ca="1" si="49"/>
        <v>0.64405380084172947</v>
      </c>
      <c r="S75" s="307">
        <f t="shared" ca="1" si="50"/>
        <v>8.5083521063943177</v>
      </c>
      <c r="T75" s="304">
        <f t="shared" ca="1" si="30"/>
        <v>83.466934163728254</v>
      </c>
      <c r="U75" s="311">
        <f t="shared" ca="1" si="31"/>
        <v>0</v>
      </c>
      <c r="V75" s="306">
        <f t="shared" ca="1" si="32"/>
        <v>1.2209559427813379</v>
      </c>
      <c r="W75" s="304">
        <f t="shared" ca="1" si="33"/>
        <v>38.1102908205444</v>
      </c>
      <c r="Y75" s="314" t="str">
        <f t="shared" ca="1" si="51"/>
        <v/>
      </c>
      <c r="Z75" s="315" t="str">
        <f t="shared" ca="1" si="52"/>
        <v/>
      </c>
      <c r="AA75" s="316" t="str">
        <f t="shared" ca="1" si="53"/>
        <v/>
      </c>
      <c r="AC75" s="310" t="e">
        <f t="shared" ca="1" si="54"/>
        <v>#N/A</v>
      </c>
      <c r="AD75" s="323" t="e">
        <f t="shared" ca="1" si="55"/>
        <v>#N/A</v>
      </c>
      <c r="AE75" s="324">
        <f t="shared" ca="1" si="34"/>
        <v>33.067294041800871</v>
      </c>
      <c r="AG75" s="306">
        <f t="shared" ca="1" si="56"/>
        <v>140.0432152654935</v>
      </c>
      <c r="AH75" s="304">
        <f t="shared" ca="1" si="57"/>
        <v>149.68145060083543</v>
      </c>
    </row>
    <row r="76" spans="1:34" x14ac:dyDescent="0.2">
      <c r="A76" s="347">
        <f t="shared" ca="1" si="35"/>
        <v>0.01</v>
      </c>
      <c r="B76" s="304">
        <f t="shared" ca="1" si="36"/>
        <v>0.72000000000000042</v>
      </c>
      <c r="D76" s="306">
        <f t="shared" ca="1" si="37"/>
        <v>27.897241568052291</v>
      </c>
      <c r="E76" s="307">
        <f t="shared" ca="1" si="38"/>
        <v>137.1522867207043</v>
      </c>
      <c r="F76" s="304">
        <f t="shared" ca="1" si="39"/>
        <v>139.9607296345105</v>
      </c>
      <c r="G76" s="306">
        <f t="shared" ca="1" si="40"/>
        <v>18.407924752027689</v>
      </c>
      <c r="H76" s="307">
        <f t="shared" ca="1" si="41"/>
        <v>96.87459562445558</v>
      </c>
      <c r="I76" s="304">
        <f t="shared" ca="1" si="42"/>
        <v>98.608006627647143</v>
      </c>
      <c r="J76" s="306">
        <f t="shared" ca="1" si="43"/>
        <v>6.2704358206846313</v>
      </c>
      <c r="K76" s="307">
        <f t="shared" ca="1" si="44"/>
        <v>34.02918238370939</v>
      </c>
      <c r="L76" s="304">
        <f t="shared" ca="1" si="29"/>
        <v>34.602075358063168</v>
      </c>
      <c r="M76" s="306">
        <f t="shared" ca="1" si="45"/>
        <v>1.3830169293825196</v>
      </c>
      <c r="N76" s="304">
        <f t="shared" ca="1" si="46"/>
        <v>79.241033048760997</v>
      </c>
      <c r="P76" s="310">
        <f t="shared" ca="1" si="47"/>
        <v>7</v>
      </c>
      <c r="Q76" s="304">
        <f t="shared" ca="1" si="48"/>
        <v>1309.8833749999999</v>
      </c>
      <c r="R76" s="306">
        <f t="shared" ca="1" si="49"/>
        <v>0.64371827581621832</v>
      </c>
      <c r="S76" s="307">
        <f t="shared" ca="1" si="50"/>
        <v>8.5019149236361553</v>
      </c>
      <c r="T76" s="304">
        <f t="shared" ca="1" si="30"/>
        <v>83.403785400870689</v>
      </c>
      <c r="U76" s="311">
        <f t="shared" ca="1" si="31"/>
        <v>0</v>
      </c>
      <c r="V76" s="306">
        <f t="shared" ca="1" si="32"/>
        <v>1.220838505770302</v>
      </c>
      <c r="W76" s="304">
        <f t="shared" ca="1" si="33"/>
        <v>39.211748680603968</v>
      </c>
      <c r="Y76" s="314" t="str">
        <f t="shared" ca="1" si="51"/>
        <v/>
      </c>
      <c r="Z76" s="315" t="str">
        <f t="shared" ca="1" si="52"/>
        <v/>
      </c>
      <c r="AA76" s="316" t="str">
        <f t="shared" ca="1" si="53"/>
        <v/>
      </c>
      <c r="AC76" s="310" t="e">
        <f t="shared" ca="1" si="54"/>
        <v>#N/A</v>
      </c>
      <c r="AD76" s="323" t="e">
        <f t="shared" ca="1" si="55"/>
        <v>#N/A</v>
      </c>
      <c r="AE76" s="324">
        <f t="shared" ca="1" si="34"/>
        <v>34.02918238370939</v>
      </c>
      <c r="AG76" s="306">
        <f t="shared" ca="1" si="56"/>
        <v>139.94877167299592</v>
      </c>
      <c r="AH76" s="304">
        <f t="shared" ca="1" si="57"/>
        <v>149.58666319322978</v>
      </c>
    </row>
    <row r="77" spans="1:34" x14ac:dyDescent="0.2">
      <c r="A77" s="347">
        <f t="shared" ca="1" si="35"/>
        <v>0.01</v>
      </c>
      <c r="B77" s="304">
        <f t="shared" ca="1" si="36"/>
        <v>0.73000000000000043</v>
      </c>
      <c r="D77" s="306">
        <f t="shared" ca="1" si="37"/>
        <v>27.906449800032021</v>
      </c>
      <c r="E77" s="307">
        <f t="shared" ca="1" si="38"/>
        <v>137.05207576953939</v>
      </c>
      <c r="F77" s="304">
        <f t="shared" ca="1" si="39"/>
        <v>139.86436791828459</v>
      </c>
      <c r="G77" s="306">
        <f t="shared" ca="1" si="40"/>
        <v>18.686989250028009</v>
      </c>
      <c r="H77" s="307">
        <f t="shared" ca="1" si="41"/>
        <v>98.245116382150968</v>
      </c>
      <c r="I77" s="304">
        <f t="shared" ca="1" si="42"/>
        <v>100.00653208752442</v>
      </c>
      <c r="J77" s="306">
        <f t="shared" ca="1" si="43"/>
        <v>6.4559103906949096</v>
      </c>
      <c r="K77" s="307">
        <f t="shared" ca="1" si="44"/>
        <v>35.004780943742425</v>
      </c>
      <c r="L77" s="304">
        <f t="shared" ca="1" si="29"/>
        <v>35.595132643271263</v>
      </c>
      <c r="M77" s="306">
        <f t="shared" ca="1" si="45"/>
        <v>1.3828338104310116</v>
      </c>
      <c r="N77" s="304">
        <f t="shared" ca="1" si="46"/>
        <v>79.230541105690719</v>
      </c>
      <c r="P77" s="310">
        <f t="shared" ca="1" si="47"/>
        <v>7</v>
      </c>
      <c r="Q77" s="304">
        <f t="shared" ca="1" si="48"/>
        <v>1309.2006249999999</v>
      </c>
      <c r="R77" s="306">
        <f t="shared" ca="1" si="49"/>
        <v>0.64338275079070717</v>
      </c>
      <c r="S77" s="307">
        <f t="shared" ca="1" si="50"/>
        <v>8.4954810961282483</v>
      </c>
      <c r="T77" s="304">
        <f t="shared" ca="1" si="30"/>
        <v>83.340669553018117</v>
      </c>
      <c r="U77" s="311">
        <f t="shared" ca="1" si="31"/>
        <v>0</v>
      </c>
      <c r="V77" s="306">
        <f t="shared" ca="1" si="32"/>
        <v>1.2207194063964617</v>
      </c>
      <c r="W77" s="304">
        <f t="shared" ca="1" si="33"/>
        <v>40.327956558745164</v>
      </c>
      <c r="Y77" s="314" t="str">
        <f t="shared" ca="1" si="51"/>
        <v/>
      </c>
      <c r="Z77" s="315" t="str">
        <f t="shared" ca="1" si="52"/>
        <v/>
      </c>
      <c r="AA77" s="316" t="str">
        <f t="shared" ca="1" si="53"/>
        <v/>
      </c>
      <c r="AC77" s="310" t="e">
        <f t="shared" ca="1" si="54"/>
        <v>#N/A</v>
      </c>
      <c r="AD77" s="323" t="e">
        <f t="shared" ca="1" si="55"/>
        <v>#N/A</v>
      </c>
      <c r="AE77" s="324">
        <f t="shared" ca="1" si="34"/>
        <v>35.004780943742425</v>
      </c>
      <c r="AG77" s="306">
        <f t="shared" ca="1" si="56"/>
        <v>139.85237831402512</v>
      </c>
      <c r="AH77" s="304">
        <f t="shared" ca="1" si="57"/>
        <v>149.48993022869345</v>
      </c>
    </row>
    <row r="78" spans="1:34" x14ac:dyDescent="0.2">
      <c r="A78" s="347">
        <f t="shared" ca="1" si="35"/>
        <v>0.01</v>
      </c>
      <c r="B78" s="304">
        <f t="shared" ca="1" si="36"/>
        <v>0.74000000000000044</v>
      </c>
      <c r="D78" s="306">
        <f t="shared" ca="1" si="37"/>
        <v>27.914904159874478</v>
      </c>
      <c r="E78" s="307">
        <f t="shared" ca="1" si="38"/>
        <v>136.95002491837189</v>
      </c>
      <c r="F78" s="304">
        <f t="shared" ca="1" si="39"/>
        <v>139.76605882472919</v>
      </c>
      <c r="G78" s="306">
        <f t="shared" ca="1" si="40"/>
        <v>18.966138291626756</v>
      </c>
      <c r="H78" s="307">
        <f t="shared" ca="1" si="41"/>
        <v>99.614616631334684</v>
      </c>
      <c r="I78" s="304">
        <f t="shared" ca="1" si="42"/>
        <v>101.40407412084039</v>
      </c>
      <c r="J78" s="306">
        <f t="shared" ca="1" si="43"/>
        <v>6.6441760284031837</v>
      </c>
      <c r="K78" s="307">
        <f t="shared" ca="1" si="44"/>
        <v>35.994079608809855</v>
      </c>
      <c r="L78" s="304">
        <f t="shared" ca="1" si="29"/>
        <v>36.602169908104479</v>
      </c>
      <c r="M78" s="306">
        <f t="shared" ca="1" si="45"/>
        <v>1.3826530411736311</v>
      </c>
      <c r="N78" s="304">
        <f t="shared" ca="1" si="46"/>
        <v>79.220183790177103</v>
      </c>
      <c r="P78" s="310">
        <f t="shared" ca="1" si="47"/>
        <v>7</v>
      </c>
      <c r="Q78" s="304">
        <f t="shared" ca="1" si="48"/>
        <v>1308.517875</v>
      </c>
      <c r="R78" s="306">
        <f t="shared" ca="1" si="49"/>
        <v>0.64304722576519613</v>
      </c>
      <c r="S78" s="307">
        <f t="shared" ca="1" si="50"/>
        <v>8.4890506238705967</v>
      </c>
      <c r="T78" s="304">
        <f t="shared" ca="1" si="30"/>
        <v>83.277586620170553</v>
      </c>
      <c r="U78" s="311">
        <f t="shared" ca="1" si="31"/>
        <v>0</v>
      </c>
      <c r="V78" s="306">
        <f t="shared" ca="1" si="32"/>
        <v>1.2205986463815475</v>
      </c>
      <c r="W78" s="304">
        <f t="shared" ca="1" si="33"/>
        <v>41.458857007023468</v>
      </c>
      <c r="Y78" s="314" t="str">
        <f t="shared" ca="1" si="51"/>
        <v/>
      </c>
      <c r="Z78" s="315" t="str">
        <f t="shared" ca="1" si="52"/>
        <v/>
      </c>
      <c r="AA78" s="316" t="str">
        <f t="shared" ca="1" si="53"/>
        <v/>
      </c>
      <c r="AC78" s="310" t="e">
        <f t="shared" ca="1" si="54"/>
        <v>#N/A</v>
      </c>
      <c r="AD78" s="323" t="e">
        <f t="shared" ca="1" si="55"/>
        <v>#N/A</v>
      </c>
      <c r="AE78" s="324">
        <f t="shared" ca="1" si="34"/>
        <v>35.994079608809855</v>
      </c>
      <c r="AG78" s="306">
        <f t="shared" ca="1" si="56"/>
        <v>139.75403764989238</v>
      </c>
      <c r="AH78" s="304">
        <f t="shared" ca="1" si="57"/>
        <v>149.39125405557087</v>
      </c>
    </row>
    <row r="79" spans="1:34" x14ac:dyDescent="0.2">
      <c r="A79" s="347">
        <f t="shared" ca="1" si="35"/>
        <v>0.01</v>
      </c>
      <c r="B79" s="304">
        <f t="shared" ca="1" si="36"/>
        <v>0.75000000000000044</v>
      </c>
      <c r="D79" s="306">
        <f t="shared" ca="1" si="37"/>
        <v>27.92261449323577</v>
      </c>
      <c r="E79" s="307">
        <f t="shared" ca="1" si="38"/>
        <v>136.84613501912617</v>
      </c>
      <c r="F79" s="304">
        <f t="shared" ca="1" si="39"/>
        <v>139.66580494097605</v>
      </c>
      <c r="G79" s="306">
        <f t="shared" ca="1" si="40"/>
        <v>19.245364436559115</v>
      </c>
      <c r="H79" s="307">
        <f t="shared" ca="1" si="41"/>
        <v>100.98307798152595</v>
      </c>
      <c r="I79" s="304">
        <f t="shared" ca="1" si="42"/>
        <v>102.80061328085026</v>
      </c>
      <c r="J79" s="306">
        <f t="shared" ca="1" si="43"/>
        <v>6.8352335420441133</v>
      </c>
      <c r="K79" s="307">
        <f t="shared" ca="1" si="44"/>
        <v>36.997068081874161</v>
      </c>
      <c r="L79" s="304">
        <f t="shared" ca="1" si="29"/>
        <v>37.623177221350097</v>
      </c>
      <c r="M79" s="306">
        <f t="shared" ca="1" si="45"/>
        <v>1.3824745581917584</v>
      </c>
      <c r="N79" s="304">
        <f t="shared" ca="1" si="46"/>
        <v>79.209957468600891</v>
      </c>
      <c r="P79" s="310">
        <f t="shared" ca="1" si="47"/>
        <v>7</v>
      </c>
      <c r="Q79" s="304">
        <f t="shared" ca="1" si="48"/>
        <v>1307.8351249999998</v>
      </c>
      <c r="R79" s="306">
        <f t="shared" ca="1" si="49"/>
        <v>0.64271170073968487</v>
      </c>
      <c r="S79" s="307">
        <f t="shared" ca="1" si="50"/>
        <v>8.4826235068632005</v>
      </c>
      <c r="T79" s="304">
        <f t="shared" ca="1" si="30"/>
        <v>83.214536602327996</v>
      </c>
      <c r="U79" s="311">
        <f t="shared" ca="1" si="31"/>
        <v>0</v>
      </c>
      <c r="V79" s="306">
        <f t="shared" ca="1" si="32"/>
        <v>1.2204762274759735</v>
      </c>
      <c r="W79" s="304">
        <f t="shared" ca="1" si="33"/>
        <v>42.604391648507892</v>
      </c>
      <c r="Y79" s="314" t="str">
        <f t="shared" ca="1" si="51"/>
        <v/>
      </c>
      <c r="Z79" s="315" t="str">
        <f t="shared" ca="1" si="52"/>
        <v/>
      </c>
      <c r="AA79" s="316" t="str">
        <f t="shared" ca="1" si="53"/>
        <v/>
      </c>
      <c r="AC79" s="310" t="e">
        <f t="shared" ca="1" si="54"/>
        <v>#N/A</v>
      </c>
      <c r="AD79" s="323" t="e">
        <f t="shared" ca="1" si="55"/>
        <v>#N/A</v>
      </c>
      <c r="AE79" s="324">
        <f t="shared" ca="1" si="34"/>
        <v>36.997068081874161</v>
      </c>
      <c r="AG79" s="306">
        <f t="shared" ca="1" si="56"/>
        <v>139.65375225927113</v>
      </c>
      <c r="AH79" s="304">
        <f t="shared" ca="1" si="57"/>
        <v>149.29063714408224</v>
      </c>
    </row>
    <row r="80" spans="1:34" x14ac:dyDescent="0.2">
      <c r="A80" s="347">
        <f t="shared" ca="1" si="35"/>
        <v>0.01</v>
      </c>
      <c r="B80" s="304">
        <f t="shared" ca="1" si="36"/>
        <v>0.76000000000000045</v>
      </c>
      <c r="D80" s="306">
        <f t="shared" ca="1" si="37"/>
        <v>27.929590278758674</v>
      </c>
      <c r="E80" s="307">
        <f t="shared" ca="1" si="38"/>
        <v>136.7404071076048</v>
      </c>
      <c r="F80" s="304">
        <f t="shared" ca="1" si="39"/>
        <v>139.56360897129605</v>
      </c>
      <c r="G80" s="306">
        <f t="shared" ca="1" si="40"/>
        <v>19.524660339346703</v>
      </c>
      <c r="H80" s="307">
        <f t="shared" ca="1" si="41"/>
        <v>102.350482052602</v>
      </c>
      <c r="I80" s="304">
        <f t="shared" ca="1" si="42"/>
        <v>104.19613014775003</v>
      </c>
      <c r="J80" s="306">
        <f t="shared" ca="1" si="43"/>
        <v>7.0290836659236424</v>
      </c>
      <c r="K80" s="307">
        <f t="shared" ca="1" si="44"/>
        <v>38.013735882044799</v>
      </c>
      <c r="L80" s="304">
        <f t="shared" ca="1" si="29"/>
        <v>38.658144457441502</v>
      </c>
      <c r="M80" s="306">
        <f t="shared" ca="1" si="45"/>
        <v>1.3822983005910634</v>
      </c>
      <c r="N80" s="304">
        <f t="shared" ca="1" si="46"/>
        <v>79.199858651973955</v>
      </c>
      <c r="P80" s="310">
        <f t="shared" ca="1" si="47"/>
        <v>7</v>
      </c>
      <c r="Q80" s="304">
        <f t="shared" ca="1" si="48"/>
        <v>1307.1523749999999</v>
      </c>
      <c r="R80" s="306">
        <f t="shared" ca="1" si="49"/>
        <v>0.64237617571417371</v>
      </c>
      <c r="S80" s="307">
        <f t="shared" ca="1" si="50"/>
        <v>8.476199745106058</v>
      </c>
      <c r="T80" s="304">
        <f t="shared" ca="1" si="30"/>
        <v>83.151519499490433</v>
      </c>
      <c r="U80" s="311">
        <f t="shared" ca="1" si="31"/>
        <v>0</v>
      </c>
      <c r="V80" s="306">
        <f t="shared" ca="1" si="32"/>
        <v>1.2203521514587925</v>
      </c>
      <c r="W80" s="304">
        <f t="shared" ca="1" si="33"/>
        <v>43.764501182706404</v>
      </c>
      <c r="Y80" s="314" t="str">
        <f t="shared" ca="1" si="51"/>
        <v/>
      </c>
      <c r="Z80" s="315" t="str">
        <f t="shared" ca="1" si="52"/>
        <v/>
      </c>
      <c r="AA80" s="316" t="str">
        <f t="shared" ca="1" si="53"/>
        <v/>
      </c>
      <c r="AC80" s="310" t="e">
        <f t="shared" ca="1" si="54"/>
        <v>#N/A</v>
      </c>
      <c r="AD80" s="323" t="e">
        <f t="shared" ca="1" si="55"/>
        <v>#N/A</v>
      </c>
      <c r="AE80" s="324">
        <f t="shared" ca="1" si="34"/>
        <v>38.013735882044799</v>
      </c>
      <c r="AG80" s="306">
        <f t="shared" ca="1" si="56"/>
        <v>139.55152483826402</v>
      </c>
      <c r="AH80" s="304">
        <f t="shared" ca="1" si="57"/>
        <v>149.18808208615067</v>
      </c>
    </row>
    <row r="81" spans="1:34" x14ac:dyDescent="0.2">
      <c r="A81" s="347">
        <f t="shared" ca="1" si="35"/>
        <v>0.01</v>
      </c>
      <c r="B81" s="304">
        <f t="shared" ca="1" si="36"/>
        <v>0.77000000000000046</v>
      </c>
      <c r="D81" s="306">
        <f t="shared" ca="1" si="37"/>
        <v>27.935840649157488</v>
      </c>
      <c r="E81" s="307">
        <f t="shared" ca="1" si="38"/>
        <v>136.6328423998701</v>
      </c>
      <c r="F81" s="304">
        <f t="shared" ca="1" si="39"/>
        <v>139.45947373715009</v>
      </c>
      <c r="G81" s="306">
        <f t="shared" ca="1" si="40"/>
        <v>19.804018745838277</v>
      </c>
      <c r="H81" s="307">
        <f t="shared" ca="1" si="41"/>
        <v>103.7168104766007</v>
      </c>
      <c r="I81" s="304">
        <f t="shared" ca="1" si="42"/>
        <v>105.59060532985225</v>
      </c>
      <c r="J81" s="306">
        <f t="shared" ca="1" si="43"/>
        <v>7.2257270613495672</v>
      </c>
      <c r="K81" s="307">
        <f t="shared" ca="1" si="44"/>
        <v>39.044072344690811</v>
      </c>
      <c r="L81" s="304">
        <f t="shared" ca="1" si="29"/>
        <v>39.707061296733727</v>
      </c>
      <c r="M81" s="306">
        <f t="shared" ca="1" si="45"/>
        <v>1.3821242098684927</v>
      </c>
      <c r="N81" s="304">
        <f t="shared" ca="1" si="46"/>
        <v>79.189883988318272</v>
      </c>
      <c r="P81" s="310">
        <f t="shared" ca="1" si="47"/>
        <v>7</v>
      </c>
      <c r="Q81" s="304">
        <f t="shared" ca="1" si="48"/>
        <v>1306.469625</v>
      </c>
      <c r="R81" s="306">
        <f t="shared" ca="1" si="49"/>
        <v>0.64204065068866256</v>
      </c>
      <c r="S81" s="307">
        <f t="shared" ca="1" si="50"/>
        <v>8.4697793385991709</v>
      </c>
      <c r="T81" s="304">
        <f t="shared" ca="1" si="30"/>
        <v>83.088535311657864</v>
      </c>
      <c r="U81" s="311">
        <f t="shared" ca="1" si="31"/>
        <v>0</v>
      </c>
      <c r="V81" s="306">
        <f t="shared" ca="1" si="32"/>
        <v>1.2202264201376498</v>
      </c>
      <c r="W81" s="304">
        <f t="shared" ca="1" si="33"/>
        <v>44.939125391116455</v>
      </c>
      <c r="Y81" s="314" t="str">
        <f t="shared" ca="1" si="51"/>
        <v/>
      </c>
      <c r="Z81" s="315" t="str">
        <f t="shared" ca="1" si="52"/>
        <v/>
      </c>
      <c r="AA81" s="316" t="str">
        <f t="shared" ca="1" si="53"/>
        <v/>
      </c>
      <c r="AC81" s="310" t="e">
        <f t="shared" ca="1" si="54"/>
        <v>#N/A</v>
      </c>
      <c r="AD81" s="323" t="e">
        <f t="shared" ca="1" si="55"/>
        <v>#N/A</v>
      </c>
      <c r="AE81" s="324">
        <f t="shared" ca="1" si="34"/>
        <v>39.044072344690811</v>
      </c>
      <c r="AG81" s="306">
        <f t="shared" ca="1" si="56"/>
        <v>139.4473582004386</v>
      </c>
      <c r="AH81" s="304">
        <f t="shared" ca="1" si="57"/>
        <v>149.08359159521316</v>
      </c>
    </row>
    <row r="82" spans="1:34" x14ac:dyDescent="0.2">
      <c r="A82" s="347">
        <f t="shared" ca="1" si="35"/>
        <v>0.01</v>
      </c>
      <c r="B82" s="304">
        <f t="shared" ca="1" si="36"/>
        <v>0.78000000000000047</v>
      </c>
      <c r="D82" s="306">
        <f t="shared" ca="1" si="37"/>
        <v>27.941374410900558</v>
      </c>
      <c r="E82" s="307">
        <f t="shared" ca="1" si="38"/>
        <v>136.52344228883399</v>
      </c>
      <c r="F82" s="304">
        <f t="shared" ca="1" si="39"/>
        <v>139.35340217720812</v>
      </c>
      <c r="G82" s="306">
        <f t="shared" ca="1" si="40"/>
        <v>20.083432489947285</v>
      </c>
      <c r="H82" s="307">
        <f t="shared" ca="1" si="41"/>
        <v>105.08204489948903</v>
      </c>
      <c r="I82" s="304">
        <f t="shared" ca="1" si="42"/>
        <v>106.98401946476164</v>
      </c>
      <c r="J82" s="306">
        <f t="shared" ca="1" si="43"/>
        <v>7.4251643175284947</v>
      </c>
      <c r="K82" s="307">
        <f t="shared" ca="1" si="44"/>
        <v>40.088066621571258</v>
      </c>
      <c r="L82" s="304">
        <f t="shared" ca="1" si="29"/>
        <v>40.769917225790806</v>
      </c>
      <c r="M82" s="306">
        <f t="shared" ca="1" si="45"/>
        <v>1.3819522297879336</v>
      </c>
      <c r="N82" s="304">
        <f t="shared" ca="1" si="46"/>
        <v>79.180030255541922</v>
      </c>
      <c r="P82" s="310">
        <f t="shared" ca="1" si="47"/>
        <v>7</v>
      </c>
      <c r="Q82" s="304">
        <f t="shared" ca="1" si="48"/>
        <v>1305.786875</v>
      </c>
      <c r="R82" s="306">
        <f t="shared" ca="1" si="49"/>
        <v>0.64170512566315141</v>
      </c>
      <c r="S82" s="307">
        <f t="shared" ca="1" si="50"/>
        <v>8.4633622873425391</v>
      </c>
      <c r="T82" s="304">
        <f t="shared" ca="1" si="30"/>
        <v>83.025584038830317</v>
      </c>
      <c r="U82" s="311">
        <f t="shared" ca="1" si="31"/>
        <v>0</v>
      </c>
      <c r="V82" s="306">
        <f t="shared" ca="1" si="32"/>
        <v>1.22009903534873</v>
      </c>
      <c r="W82" s="304">
        <f t="shared" ca="1" si="33"/>
        <v>46.128203142898997</v>
      </c>
      <c r="Y82" s="314" t="str">
        <f t="shared" ca="1" si="51"/>
        <v/>
      </c>
      <c r="Z82" s="315" t="str">
        <f t="shared" ca="1" si="52"/>
        <v/>
      </c>
      <c r="AA82" s="316" t="str">
        <f t="shared" ca="1" si="53"/>
        <v/>
      </c>
      <c r="AC82" s="310" t="e">
        <f t="shared" ca="1" si="54"/>
        <v>#N/A</v>
      </c>
      <c r="AD82" s="323" t="e">
        <f t="shared" ca="1" si="55"/>
        <v>#N/A</v>
      </c>
      <c r="AE82" s="324">
        <f t="shared" ca="1" si="34"/>
        <v>40.088066621571258</v>
      </c>
      <c r="AG82" s="306">
        <f t="shared" ca="1" si="56"/>
        <v>139.34125527683133</v>
      </c>
      <c r="AH82" s="304">
        <f t="shared" ca="1" si="57"/>
        <v>148.97716850601518</v>
      </c>
    </row>
    <row r="83" spans="1:34" x14ac:dyDescent="0.2">
      <c r="A83" s="347">
        <f t="shared" ca="1" si="35"/>
        <v>0.01</v>
      </c>
      <c r="B83" s="304">
        <f t="shared" ca="1" si="36"/>
        <v>0.79000000000000048</v>
      </c>
      <c r="D83" s="306">
        <f t="shared" ca="1" si="37"/>
        <v>27.946200062600173</v>
      </c>
      <c r="E83" s="307">
        <f t="shared" ca="1" si="38"/>
        <v>136.41220834103848</v>
      </c>
      <c r="F83" s="304">
        <f t="shared" ca="1" si="39"/>
        <v>139.24539734733699</v>
      </c>
      <c r="G83" s="306">
        <f t="shared" ca="1" si="40"/>
        <v>20.362894490573286</v>
      </c>
      <c r="H83" s="307">
        <f t="shared" ca="1" si="41"/>
        <v>106.44616698289941</v>
      </c>
      <c r="I83" s="304">
        <f t="shared" ca="1" si="42"/>
        <v>108.37635322055048</v>
      </c>
      <c r="J83" s="306">
        <f t="shared" ca="1" si="43"/>
        <v>7.6273959524310975</v>
      </c>
      <c r="K83" s="307">
        <f t="shared" ca="1" si="44"/>
        <v>41.1457076809832</v>
      </c>
      <c r="L83" s="304">
        <f t="shared" ca="1" si="29"/>
        <v>41.846701537684929</v>
      </c>
      <c r="M83" s="306">
        <f t="shared" ca="1" si="45"/>
        <v>1.3817823062638817</v>
      </c>
      <c r="N83" s="304">
        <f t="shared" ca="1" si="46"/>
        <v>79.170294354773759</v>
      </c>
      <c r="P83" s="310">
        <f t="shared" ca="1" si="47"/>
        <v>7</v>
      </c>
      <c r="Q83" s="304">
        <f t="shared" ca="1" si="48"/>
        <v>1305.1041249999998</v>
      </c>
      <c r="R83" s="306">
        <f t="shared" ca="1" si="49"/>
        <v>0.64136960063764015</v>
      </c>
      <c r="S83" s="307">
        <f t="shared" ca="1" si="50"/>
        <v>8.4569485913361628</v>
      </c>
      <c r="T83" s="304">
        <f t="shared" ca="1" si="30"/>
        <v>82.962665681007763</v>
      </c>
      <c r="U83" s="311">
        <f t="shared" ca="1" si="31"/>
        <v>0</v>
      </c>
      <c r="V83" s="306">
        <f t="shared" ca="1" si="32"/>
        <v>1.2199699989567079</v>
      </c>
      <c r="W83" s="304">
        <f t="shared" ca="1" si="33"/>
        <v>47.331672400675963</v>
      </c>
      <c r="Y83" s="314" t="str">
        <f t="shared" ca="1" si="51"/>
        <v/>
      </c>
      <c r="Z83" s="315" t="str">
        <f t="shared" ca="1" si="52"/>
        <v/>
      </c>
      <c r="AA83" s="316" t="str">
        <f t="shared" ca="1" si="53"/>
        <v/>
      </c>
      <c r="AC83" s="310" t="e">
        <f t="shared" ca="1" si="54"/>
        <v>#N/A</v>
      </c>
      <c r="AD83" s="323" t="e">
        <f t="shared" ca="1" si="55"/>
        <v>#N/A</v>
      </c>
      <c r="AE83" s="324">
        <f t="shared" ca="1" si="34"/>
        <v>41.1457076809832</v>
      </c>
      <c r="AG83" s="306">
        <f t="shared" ca="1" si="56"/>
        <v>139.23321911592222</v>
      </c>
      <c r="AH83" s="304">
        <f t="shared" ca="1" si="57"/>
        <v>148.86881577438888</v>
      </c>
    </row>
    <row r="84" spans="1:34" x14ac:dyDescent="0.2">
      <c r="A84" s="347">
        <f t="shared" ca="1" si="35"/>
        <v>0.01</v>
      </c>
      <c r="B84" s="304">
        <f t="shared" ca="1" si="36"/>
        <v>0.80000000000000049</v>
      </c>
      <c r="D84" s="306">
        <f t="shared" ca="1" si="37"/>
        <v>27.950325812210163</v>
      </c>
      <c r="E84" s="307">
        <f t="shared" ca="1" si="38"/>
        <v>136.2991422936114</v>
      </c>
      <c r="F84" s="304">
        <f t="shared" ca="1" si="39"/>
        <v>139.13546242055915</v>
      </c>
      <c r="G84" s="306">
        <f t="shared" ca="1" si="40"/>
        <v>20.642397748695387</v>
      </c>
      <c r="H84" s="307">
        <f t="shared" ca="1" si="41"/>
        <v>107.80915840583553</v>
      </c>
      <c r="I84" s="304">
        <f t="shared" ca="1" si="42"/>
        <v>109.76758729693336</v>
      </c>
      <c r="J84" s="306">
        <f t="shared" ca="1" si="43"/>
        <v>7.832422413627441</v>
      </c>
      <c r="K84" s="307">
        <f t="shared" ca="1" si="44"/>
        <v>42.216984307926872</v>
      </c>
      <c r="L84" s="304">
        <f t="shared" ca="1" si="29"/>
        <v>42.937403332307333</v>
      </c>
      <c r="M84" s="306">
        <f t="shared" ca="1" si="45"/>
        <v>1.3816143872525002</v>
      </c>
      <c r="N84" s="304">
        <f t="shared" ca="1" si="46"/>
        <v>79.160673304121588</v>
      </c>
      <c r="P84" s="310">
        <f t="shared" ca="1" si="47"/>
        <v>7</v>
      </c>
      <c r="Q84" s="304">
        <f t="shared" ca="1" si="48"/>
        <v>1304.4213749999999</v>
      </c>
      <c r="R84" s="306">
        <f t="shared" ca="1" si="49"/>
        <v>0.64103407561212911</v>
      </c>
      <c r="S84" s="307">
        <f t="shared" ca="1" si="50"/>
        <v>8.4505382505800419</v>
      </c>
      <c r="T84" s="304">
        <f t="shared" ca="1" si="30"/>
        <v>82.899780238190218</v>
      </c>
      <c r="U84" s="311">
        <f t="shared" ca="1" si="31"/>
        <v>0</v>
      </c>
      <c r="V84" s="306">
        <f t="shared" ca="1" si="32"/>
        <v>1.2198393128546905</v>
      </c>
      <c r="W84" s="304">
        <f t="shared" ca="1" si="33"/>
        <v>48.549470226449401</v>
      </c>
      <c r="Y84" s="314" t="str">
        <f t="shared" ca="1" si="51"/>
        <v/>
      </c>
      <c r="Z84" s="315" t="str">
        <f t="shared" ca="1" si="52"/>
        <v/>
      </c>
      <c r="AA84" s="316" t="str">
        <f t="shared" ca="1" si="53"/>
        <v/>
      </c>
      <c r="AC84" s="310" t="e">
        <f t="shared" ca="1" si="54"/>
        <v>#N/A</v>
      </c>
      <c r="AD84" s="323" t="e">
        <f t="shared" ca="1" si="55"/>
        <v>#N/A</v>
      </c>
      <c r="AE84" s="324">
        <f t="shared" ca="1" si="34"/>
        <v>42.216984307926872</v>
      </c>
      <c r="AG84" s="306">
        <f t="shared" ca="1" si="56"/>
        <v>139.12325288358068</v>
      </c>
      <c r="AH84" s="304">
        <f t="shared" ca="1" si="57"/>
        <v>148.75853647701527</v>
      </c>
    </row>
    <row r="85" spans="1:34" x14ac:dyDescent="0.2">
      <c r="A85" s="347">
        <f t="shared" ca="1" si="35"/>
        <v>0.01</v>
      </c>
      <c r="B85" s="304">
        <f t="shared" ca="1" si="36"/>
        <v>0.8100000000000005</v>
      </c>
      <c r="D85" s="306">
        <f t="shared" ca="1" si="37"/>
        <v>27.935225322147524</v>
      </c>
      <c r="E85" s="307">
        <f t="shared" ca="1" si="38"/>
        <v>136.08744701767742</v>
      </c>
      <c r="F85" s="304">
        <f t="shared" ca="1" si="39"/>
        <v>138.92505191501033</v>
      </c>
      <c r="G85" s="306">
        <f t="shared" ca="1" si="40"/>
        <v>20.921750001916863</v>
      </c>
      <c r="H85" s="307">
        <f t="shared" ca="1" si="41"/>
        <v>109.1700328760123</v>
      </c>
      <c r="I85" s="304">
        <f t="shared" ca="1" si="42"/>
        <v>111.1567168518948</v>
      </c>
      <c r="J85" s="306">
        <f t="shared" ca="1" si="43"/>
        <v>8.0402431523805014</v>
      </c>
      <c r="K85" s="307">
        <f t="shared" ca="1" si="44"/>
        <v>43.301880264336113</v>
      </c>
      <c r="L85" s="304">
        <f t="shared" ca="1" si="29"/>
        <v>44.042006588895369</v>
      </c>
      <c r="M85" s="306">
        <f t="shared" ca="1" si="45"/>
        <v>1.3814484211779869</v>
      </c>
      <c r="N85" s="304">
        <f t="shared" ca="1" si="46"/>
        <v>79.151164148509622</v>
      </c>
      <c r="P85" s="310">
        <f t="shared" ca="1" si="47"/>
        <v>8</v>
      </c>
      <c r="Q85" s="304">
        <f t="shared" ca="1" si="48"/>
        <v>1302.9069999999999</v>
      </c>
      <c r="R85" s="306">
        <f t="shared" ca="1" si="49"/>
        <v>0.64028986365971829</v>
      </c>
      <c r="S85" s="307">
        <f t="shared" ca="1" si="50"/>
        <v>8.4441353519434443</v>
      </c>
      <c r="T85" s="304">
        <f t="shared" ca="1" si="30"/>
        <v>82.836967802565198</v>
      </c>
      <c r="U85" s="311">
        <f t="shared" ca="1" si="31"/>
        <v>0</v>
      </c>
      <c r="V85" s="306">
        <f t="shared" ca="1" si="32"/>
        <v>1.2197069795544975</v>
      </c>
      <c r="W85" s="304">
        <f t="shared" ca="1" si="33"/>
        <v>49.780650044405832</v>
      </c>
      <c r="Y85" s="314" t="str">
        <f t="shared" ca="1" si="51"/>
        <v/>
      </c>
      <c r="Z85" s="315" t="str">
        <f t="shared" ca="1" si="52"/>
        <v/>
      </c>
      <c r="AA85" s="316" t="str">
        <f t="shared" ca="1" si="53"/>
        <v/>
      </c>
      <c r="AC85" s="310" t="e">
        <f t="shared" ca="1" si="54"/>
        <v>#N/A</v>
      </c>
      <c r="AD85" s="323" t="e">
        <f t="shared" ca="1" si="55"/>
        <v>#N/A</v>
      </c>
      <c r="AE85" s="324">
        <f t="shared" ca="1" si="34"/>
        <v>43.301880264336113</v>
      </c>
      <c r="AG85" s="306">
        <f t="shared" ca="1" si="56"/>
        <v>138.91280240701553</v>
      </c>
      <c r="AH85" s="304">
        <f t="shared" ca="1" si="57"/>
        <v>148.5477763552021</v>
      </c>
    </row>
    <row r="86" spans="1:34" x14ac:dyDescent="0.2">
      <c r="A86" s="347">
        <f t="shared" ca="1" si="35"/>
        <v>0.01</v>
      </c>
      <c r="B86" s="304">
        <f t="shared" ca="1" si="36"/>
        <v>0.82000000000000051</v>
      </c>
      <c r="D86" s="306">
        <f t="shared" ca="1" si="37"/>
        <v>27.900822312937574</v>
      </c>
      <c r="E86" s="307">
        <f t="shared" ca="1" si="38"/>
        <v>135.77694606770959</v>
      </c>
      <c r="F86" s="304">
        <f t="shared" ca="1" si="39"/>
        <v>138.61397826053417</v>
      </c>
      <c r="G86" s="306">
        <f t="shared" ca="1" si="40"/>
        <v>21.20075822504624</v>
      </c>
      <c r="H86" s="307">
        <f t="shared" ca="1" si="41"/>
        <v>110.52780233668939</v>
      </c>
      <c r="I86" s="304">
        <f t="shared" ca="1" si="42"/>
        <v>112.5427351662254</v>
      </c>
      <c r="J86" s="306">
        <f t="shared" ca="1" si="43"/>
        <v>8.2508556935153177</v>
      </c>
      <c r="K86" s="307">
        <f t="shared" ca="1" si="44"/>
        <v>44.400369440399622</v>
      </c>
      <c r="L86" s="304">
        <f t="shared" ca="1" si="29"/>
        <v>45.16048522900509</v>
      </c>
      <c r="M86" s="306">
        <f t="shared" ca="1" si="45"/>
        <v>1.3812843569720081</v>
      </c>
      <c r="N86" s="304">
        <f t="shared" ca="1" si="46"/>
        <v>79.141763961937869</v>
      </c>
      <c r="P86" s="310">
        <f t="shared" ca="1" si="47"/>
        <v>8</v>
      </c>
      <c r="Q86" s="304">
        <f t="shared" ca="1" si="48"/>
        <v>1300.5609999999999</v>
      </c>
      <c r="R86" s="306">
        <f t="shared" ca="1" si="49"/>
        <v>0.63913696478040782</v>
      </c>
      <c r="S86" s="307">
        <f t="shared" ca="1" si="50"/>
        <v>8.4377439822956397</v>
      </c>
      <c r="T86" s="304">
        <f t="shared" ca="1" si="30"/>
        <v>82.774268466320237</v>
      </c>
      <c r="U86" s="311">
        <f t="shared" ca="1" si="31"/>
        <v>0</v>
      </c>
      <c r="V86" s="306">
        <f t="shared" ca="1" si="32"/>
        <v>1.2195730027776326</v>
      </c>
      <c r="W86" s="304">
        <f t="shared" ca="1" si="33"/>
        <v>51.024219026004552</v>
      </c>
      <c r="Y86" s="314" t="str">
        <f t="shared" ca="1" si="51"/>
        <v/>
      </c>
      <c r="Z86" s="315" t="str">
        <f t="shared" ca="1" si="52"/>
        <v/>
      </c>
      <c r="AA86" s="316" t="str">
        <f t="shared" ca="1" si="53"/>
        <v/>
      </c>
      <c r="AC86" s="310" t="e">
        <f t="shared" ca="1" si="54"/>
        <v>#N/A</v>
      </c>
      <c r="AD86" s="323" t="e">
        <f t="shared" ca="1" si="55"/>
        <v>#N/A</v>
      </c>
      <c r="AE86" s="324">
        <f t="shared" ca="1" si="34"/>
        <v>44.400369440399622</v>
      </c>
      <c r="AG86" s="306">
        <f t="shared" ca="1" si="56"/>
        <v>138.60167996706144</v>
      </c>
      <c r="AH86" s="304">
        <f t="shared" ca="1" si="57"/>
        <v>148.23634760429135</v>
      </c>
    </row>
    <row r="87" spans="1:34" x14ac:dyDescent="0.2">
      <c r="A87" s="347">
        <f t="shared" ca="1" si="35"/>
        <v>0.01</v>
      </c>
      <c r="B87" s="304">
        <f t="shared" ca="1" si="36"/>
        <v>0.83000000000000052</v>
      </c>
      <c r="D87" s="306">
        <f t="shared" ca="1" si="37"/>
        <v>27.865636856892877</v>
      </c>
      <c r="E87" s="307">
        <f t="shared" ca="1" si="38"/>
        <v>135.46440810423687</v>
      </c>
      <c r="F87" s="304">
        <f t="shared" ca="1" si="39"/>
        <v>138.30075770027966</v>
      </c>
      <c r="G87" s="306">
        <f t="shared" ca="1" si="40"/>
        <v>21.479414593615168</v>
      </c>
      <c r="H87" s="307">
        <f t="shared" ca="1" si="41"/>
        <v>111.88244641773176</v>
      </c>
      <c r="I87" s="304">
        <f t="shared" ca="1" si="42"/>
        <v>113.9256207694346</v>
      </c>
      <c r="J87" s="306">
        <f t="shared" ca="1" si="43"/>
        <v>8.4642565576086248</v>
      </c>
      <c r="K87" s="307">
        <f t="shared" ca="1" si="44"/>
        <v>45.51242068417173</v>
      </c>
      <c r="L87" s="304">
        <f t="shared" ca="1" si="29"/>
        <v>46.292808033279243</v>
      </c>
      <c r="M87" s="306">
        <f t="shared" ca="1" si="45"/>
        <v>1.3811221455120264</v>
      </c>
      <c r="N87" s="304">
        <f t="shared" ca="1" si="46"/>
        <v>79.132469929892267</v>
      </c>
      <c r="P87" s="310">
        <f t="shared" ca="1" si="47"/>
        <v>8</v>
      </c>
      <c r="Q87" s="304">
        <f t="shared" ca="1" si="48"/>
        <v>1298.2149999999999</v>
      </c>
      <c r="R87" s="306">
        <f t="shared" ca="1" si="49"/>
        <v>0.63798406590109746</v>
      </c>
      <c r="S87" s="307">
        <f t="shared" ca="1" si="50"/>
        <v>8.4313641416366281</v>
      </c>
      <c r="T87" s="304">
        <f t="shared" ca="1" si="30"/>
        <v>82.71168222945532</v>
      </c>
      <c r="U87" s="311">
        <f t="shared" ca="1" si="31"/>
        <v>0</v>
      </c>
      <c r="V87" s="306">
        <f t="shared" ca="1" si="32"/>
        <v>1.2194373868656427</v>
      </c>
      <c r="W87" s="304">
        <f t="shared" ca="1" si="33"/>
        <v>52.280044189229564</v>
      </c>
      <c r="Y87" s="314" t="str">
        <f t="shared" ca="1" si="51"/>
        <v/>
      </c>
      <c r="Z87" s="315" t="str">
        <f t="shared" ca="1" si="52"/>
        <v/>
      </c>
      <c r="AA87" s="316" t="str">
        <f t="shared" ca="1" si="53"/>
        <v/>
      </c>
      <c r="AC87" s="310" t="e">
        <f t="shared" ca="1" si="54"/>
        <v>#N/A</v>
      </c>
      <c r="AD87" s="323" t="e">
        <f t="shared" ca="1" si="55"/>
        <v>#N/A</v>
      </c>
      <c r="AE87" s="324">
        <f t="shared" ca="1" si="34"/>
        <v>45.51242068417173</v>
      </c>
      <c r="AG87" s="306">
        <f t="shared" ca="1" si="56"/>
        <v>138.28841043719612</v>
      </c>
      <c r="AH87" s="304">
        <f t="shared" ca="1" si="57"/>
        <v>147.92277501276331</v>
      </c>
    </row>
    <row r="88" spans="1:34" x14ac:dyDescent="0.2">
      <c r="A88" s="347">
        <f t="shared" ca="1" si="35"/>
        <v>0.01</v>
      </c>
      <c r="B88" s="304">
        <f t="shared" ca="1" si="36"/>
        <v>0.84000000000000052</v>
      </c>
      <c r="D88" s="306">
        <f t="shared" ca="1" si="37"/>
        <v>27.829679126255026</v>
      </c>
      <c r="E88" s="307">
        <f t="shared" ca="1" si="38"/>
        <v>135.14984376554847</v>
      </c>
      <c r="F88" s="304">
        <f t="shared" ca="1" si="39"/>
        <v>137.98540252549353</v>
      </c>
      <c r="G88" s="306">
        <f t="shared" ca="1" si="40"/>
        <v>21.757711384877719</v>
      </c>
      <c r="H88" s="307">
        <f t="shared" ca="1" si="41"/>
        <v>113.23394485538724</v>
      </c>
      <c r="I88" s="304">
        <f t="shared" ca="1" si="42"/>
        <v>115.30535231384758</v>
      </c>
      <c r="J88" s="306">
        <f t="shared" ca="1" si="43"/>
        <v>8.6804421875010895</v>
      </c>
      <c r="K88" s="307">
        <f t="shared" ca="1" si="44"/>
        <v>46.638002640537323</v>
      </c>
      <c r="L88" s="304">
        <f t="shared" ca="1" si="29"/>
        <v>47.438943568225831</v>
      </c>
      <c r="M88" s="306">
        <f t="shared" ca="1" si="45"/>
        <v>1.3809617395230442</v>
      </c>
      <c r="N88" s="304">
        <f t="shared" ca="1" si="46"/>
        <v>79.12327934371497</v>
      </c>
      <c r="P88" s="310">
        <f t="shared" ca="1" si="47"/>
        <v>8</v>
      </c>
      <c r="Q88" s="304">
        <f t="shared" ca="1" si="48"/>
        <v>1295.8689999999997</v>
      </c>
      <c r="R88" s="306">
        <f t="shared" ca="1" si="49"/>
        <v>0.63683116702178688</v>
      </c>
      <c r="S88" s="307">
        <f t="shared" ca="1" si="50"/>
        <v>8.4249958299664094</v>
      </c>
      <c r="T88" s="304">
        <f t="shared" ca="1" si="30"/>
        <v>82.649209091970476</v>
      </c>
      <c r="U88" s="311">
        <f t="shared" ca="1" si="31"/>
        <v>0</v>
      </c>
      <c r="V88" s="306">
        <f t="shared" ca="1" si="32"/>
        <v>1.2193001361897058</v>
      </c>
      <c r="W88" s="304">
        <f t="shared" ca="1" si="33"/>
        <v>53.54799191788689</v>
      </c>
      <c r="Y88" s="314" t="str">
        <f t="shared" ca="1" si="51"/>
        <v/>
      </c>
      <c r="Z88" s="315" t="str">
        <f t="shared" ca="1" si="52"/>
        <v/>
      </c>
      <c r="AA88" s="316" t="str">
        <f t="shared" ca="1" si="53"/>
        <v/>
      </c>
      <c r="AC88" s="310" t="e">
        <f t="shared" ca="1" si="54"/>
        <v>#N/A</v>
      </c>
      <c r="AD88" s="323" t="e">
        <f t="shared" ca="1" si="55"/>
        <v>#N/A</v>
      </c>
      <c r="AE88" s="324">
        <f t="shared" ca="1" si="34"/>
        <v>46.638002640537323</v>
      </c>
      <c r="AG88" s="306">
        <f t="shared" ca="1" si="56"/>
        <v>137.97300610049521</v>
      </c>
      <c r="AH88" s="304">
        <f t="shared" ca="1" si="57"/>
        <v>147.6070707818651</v>
      </c>
    </row>
    <row r="89" spans="1:34" x14ac:dyDescent="0.2">
      <c r="A89" s="347">
        <f t="shared" ca="1" si="35"/>
        <v>0.01</v>
      </c>
      <c r="B89" s="304">
        <f t="shared" ca="1" si="36"/>
        <v>0.85000000000000053</v>
      </c>
      <c r="D89" s="306">
        <f t="shared" ca="1" si="37"/>
        <v>27.792959019617161</v>
      </c>
      <c r="E89" s="307">
        <f t="shared" ca="1" si="38"/>
        <v>134.83326386748124</v>
      </c>
      <c r="F89" s="304">
        <f t="shared" ca="1" si="39"/>
        <v>137.66792515406027</v>
      </c>
      <c r="G89" s="306">
        <f t="shared" ca="1" si="40"/>
        <v>22.035640975073893</v>
      </c>
      <c r="H89" s="307">
        <f t="shared" ca="1" si="41"/>
        <v>114.58227749406205</v>
      </c>
      <c r="I89" s="304">
        <f t="shared" ca="1" si="42"/>
        <v>116.6819085758739</v>
      </c>
      <c r="J89" s="306">
        <f t="shared" ca="1" si="43"/>
        <v>8.899408949300847</v>
      </c>
      <c r="K89" s="307">
        <f t="shared" ca="1" si="44"/>
        <v>47.777083752284568</v>
      </c>
      <c r="L89" s="304">
        <f t="shared" ca="1" si="29"/>
        <v>48.598860187454086</v>
      </c>
      <c r="M89" s="306">
        <f t="shared" ca="1" si="45"/>
        <v>1.3808030934854894</v>
      </c>
      <c r="N89" s="304">
        <f t="shared" ca="1" si="46"/>
        <v>79.114189595326593</v>
      </c>
      <c r="P89" s="310">
        <f t="shared" ca="1" si="47"/>
        <v>8</v>
      </c>
      <c r="Q89" s="304">
        <f t="shared" ca="1" si="48"/>
        <v>1293.5229999999997</v>
      </c>
      <c r="R89" s="306">
        <f t="shared" ca="1" si="49"/>
        <v>0.63567826814247652</v>
      </c>
      <c r="S89" s="307">
        <f t="shared" ca="1" si="50"/>
        <v>8.4186390472849855</v>
      </c>
      <c r="T89" s="304">
        <f t="shared" ca="1" si="30"/>
        <v>82.586849053865706</v>
      </c>
      <c r="U89" s="311">
        <f t="shared" ca="1" si="31"/>
        <v>0</v>
      </c>
      <c r="V89" s="306">
        <f t="shared" ca="1" si="32"/>
        <v>1.2191612551504296</v>
      </c>
      <c r="W89" s="304">
        <f t="shared" ca="1" si="33"/>
        <v>54.827927977643675</v>
      </c>
      <c r="Y89" s="314" t="str">
        <f t="shared" ca="1" si="51"/>
        <v/>
      </c>
      <c r="Z89" s="315" t="str">
        <f t="shared" ca="1" si="52"/>
        <v/>
      </c>
      <c r="AA89" s="316" t="str">
        <f t="shared" ca="1" si="53"/>
        <v/>
      </c>
      <c r="AC89" s="310" t="e">
        <f t="shared" ca="1" si="54"/>
        <v>#N/A</v>
      </c>
      <c r="AD89" s="323" t="e">
        <f t="shared" ca="1" si="55"/>
        <v>#N/A</v>
      </c>
      <c r="AE89" s="324">
        <f t="shared" ca="1" si="34"/>
        <v>47.777083752284568</v>
      </c>
      <c r="AG89" s="306">
        <f t="shared" ca="1" si="56"/>
        <v>137.65547936682049</v>
      </c>
      <c r="AH89" s="304">
        <f t="shared" ca="1" si="57"/>
        <v>147.28924724264132</v>
      </c>
    </row>
    <row r="90" spans="1:34" x14ac:dyDescent="0.2">
      <c r="A90" s="347">
        <f t="shared" ca="1" si="35"/>
        <v>0.01</v>
      </c>
      <c r="B90" s="304">
        <f t="shared" ca="1" si="36"/>
        <v>0.86000000000000054</v>
      </c>
      <c r="D90" s="306">
        <f t="shared" ca="1" si="37"/>
        <v>27.755486176748761</v>
      </c>
      <c r="E90" s="307">
        <f t="shared" ca="1" si="38"/>
        <v>134.51467939935503</v>
      </c>
      <c r="F90" s="304">
        <f t="shared" ca="1" si="39"/>
        <v>137.3483381290759</v>
      </c>
      <c r="G90" s="306">
        <f t="shared" ca="1" si="40"/>
        <v>22.313195836841381</v>
      </c>
      <c r="H90" s="307">
        <f t="shared" ca="1" si="41"/>
        <v>115.9274242880556</v>
      </c>
      <c r="I90" s="304">
        <f t="shared" ca="1" si="42"/>
        <v>118.05526845726158</v>
      </c>
      <c r="J90" s="306">
        <f t="shared" ca="1" si="43"/>
        <v>9.1211531333604228</v>
      </c>
      <c r="K90" s="307">
        <f t="shared" ca="1" si="44"/>
        <v>48.92963226119516</v>
      </c>
      <c r="L90" s="304">
        <f t="shared" ca="1" si="29"/>
        <v>49.772526032923025</v>
      </c>
      <c r="M90" s="306">
        <f t="shared" ca="1" si="45"/>
        <v>1.3806461635487879</v>
      </c>
      <c r="N90" s="304">
        <f t="shared" ca="1" si="46"/>
        <v>79.105198172274342</v>
      </c>
      <c r="P90" s="310">
        <f t="shared" ca="1" si="47"/>
        <v>8</v>
      </c>
      <c r="Q90" s="304">
        <f t="shared" ca="1" si="48"/>
        <v>1291.1769999999997</v>
      </c>
      <c r="R90" s="306">
        <f t="shared" ca="1" si="49"/>
        <v>0.63452536926316605</v>
      </c>
      <c r="S90" s="307">
        <f t="shared" ca="1" si="50"/>
        <v>8.4122937935923545</v>
      </c>
      <c r="T90" s="304">
        <f t="shared" ca="1" si="30"/>
        <v>82.524602115141008</v>
      </c>
      <c r="U90" s="311">
        <f t="shared" ca="1" si="31"/>
        <v>0</v>
      </c>
      <c r="V90" s="306">
        <f t="shared" ca="1" si="32"/>
        <v>1.2190207481776469</v>
      </c>
      <c r="W90" s="304">
        <f t="shared" ca="1" si="33"/>
        <v>56.119717532124447</v>
      </c>
      <c r="Y90" s="314" t="str">
        <f t="shared" ca="1" si="51"/>
        <v/>
      </c>
      <c r="Z90" s="315" t="str">
        <f t="shared" ca="1" si="52"/>
        <v/>
      </c>
      <c r="AA90" s="316" t="str">
        <f t="shared" ca="1" si="53"/>
        <v/>
      </c>
      <c r="AC90" s="310" t="e">
        <f t="shared" ca="1" si="54"/>
        <v>#N/A</v>
      </c>
      <c r="AD90" s="323" t="e">
        <f t="shared" ca="1" si="55"/>
        <v>#N/A</v>
      </c>
      <c r="AE90" s="324">
        <f t="shared" ca="1" si="34"/>
        <v>48.92963226119516</v>
      </c>
      <c r="AG90" s="306">
        <f t="shared" ca="1" si="56"/>
        <v>137.33584277138343</v>
      </c>
      <c r="AH90" s="304">
        <f t="shared" ca="1" si="57"/>
        <v>146.96931685434993</v>
      </c>
    </row>
    <row r="91" spans="1:34" x14ac:dyDescent="0.2">
      <c r="A91" s="347">
        <f t="shared" ca="1" si="35"/>
        <v>0.01</v>
      </c>
      <c r="B91" s="304">
        <f t="shared" ca="1" si="36"/>
        <v>0.87000000000000055</v>
      </c>
      <c r="D91" s="306">
        <f t="shared" ca="1" si="37"/>
        <v>27.717269992482624</v>
      </c>
      <c r="E91" s="307">
        <f t="shared" ca="1" si="38"/>
        <v>134.19410152004383</v>
      </c>
      <c r="F91" s="304">
        <f t="shared" ca="1" si="39"/>
        <v>137.02665411739429</v>
      </c>
      <c r="G91" s="306">
        <f t="shared" ca="1" si="40"/>
        <v>22.590368536766206</v>
      </c>
      <c r="H91" s="307">
        <f t="shared" ca="1" si="41"/>
        <v>117.26936530325604</v>
      </c>
      <c r="I91" s="304">
        <f t="shared" ca="1" si="42"/>
        <v>119.42541098633669</v>
      </c>
      <c r="J91" s="306">
        <f t="shared" ca="1" si="43"/>
        <v>9.34567095522846</v>
      </c>
      <c r="K91" s="307">
        <f t="shared" ca="1" si="44"/>
        <v>50.095616209151714</v>
      </c>
      <c r="L91" s="304">
        <f t="shared" ca="1" si="29"/>
        <v>50.959909036202419</v>
      </c>
      <c r="M91" s="306">
        <f t="shared" ca="1" si="45"/>
        <v>1.3804909074502056</v>
      </c>
      <c r="N91" s="304">
        <f t="shared" ca="1" si="46"/>
        <v>79.096302653081921</v>
      </c>
      <c r="P91" s="310">
        <f t="shared" ca="1" si="47"/>
        <v>8</v>
      </c>
      <c r="Q91" s="304">
        <f t="shared" ca="1" si="48"/>
        <v>1288.8309999999997</v>
      </c>
      <c r="R91" s="306">
        <f t="shared" ca="1" si="49"/>
        <v>0.63337247038385569</v>
      </c>
      <c r="S91" s="307">
        <f t="shared" ca="1" si="50"/>
        <v>8.4059600688885165</v>
      </c>
      <c r="T91" s="304">
        <f t="shared" ca="1" si="30"/>
        <v>82.462468275796354</v>
      </c>
      <c r="U91" s="311">
        <f t="shared" ca="1" si="31"/>
        <v>0</v>
      </c>
      <c r="V91" s="306">
        <f t="shared" ca="1" si="32"/>
        <v>1.2188786197302122</v>
      </c>
      <c r="W91" s="304">
        <f t="shared" ca="1" si="33"/>
        <v>57.423225159061452</v>
      </c>
      <c r="Y91" s="314" t="str">
        <f t="shared" ca="1" si="51"/>
        <v/>
      </c>
      <c r="Z91" s="315" t="str">
        <f t="shared" ca="1" si="52"/>
        <v/>
      </c>
      <c r="AA91" s="316" t="str">
        <f t="shared" ca="1" si="53"/>
        <v/>
      </c>
      <c r="AC91" s="310" t="e">
        <f t="shared" ca="1" si="54"/>
        <v>#N/A</v>
      </c>
      <c r="AD91" s="323" t="e">
        <f t="shared" ca="1" si="55"/>
        <v>#N/A</v>
      </c>
      <c r="AE91" s="324">
        <f t="shared" ca="1" si="34"/>
        <v>50.095616209151714</v>
      </c>
      <c r="AG91" s="306">
        <f t="shared" ca="1" si="56"/>
        <v>137.01410897328287</v>
      </c>
      <c r="AH91" s="304">
        <f t="shared" ca="1" si="57"/>
        <v>146.64729220286091</v>
      </c>
    </row>
    <row r="92" spans="1:34" x14ac:dyDescent="0.2">
      <c r="A92" s="347">
        <f t="shared" ca="1" si="35"/>
        <v>0.01</v>
      </c>
      <c r="B92" s="304">
        <f t="shared" ca="1" si="36"/>
        <v>0.88000000000000056</v>
      </c>
      <c r="D92" s="306">
        <f t="shared" ca="1" si="37"/>
        <v>27.678319629733302</v>
      </c>
      <c r="E92" s="307">
        <f t="shared" ca="1" si="38"/>
        <v>133.87154155417394</v>
      </c>
      <c r="F92" s="304">
        <f t="shared" ca="1" si="39"/>
        <v>136.70288590814974</v>
      </c>
      <c r="G92" s="306">
        <f t="shared" ca="1" si="40"/>
        <v>22.86715173306354</v>
      </c>
      <c r="H92" s="307">
        <f t="shared" ca="1" si="41"/>
        <v>118.60808071879778</v>
      </c>
      <c r="I92" s="304">
        <f t="shared" ca="1" si="42"/>
        <v>120.792315319228</v>
      </c>
      <c r="J92" s="306">
        <f t="shared" ca="1" si="43"/>
        <v>9.5729585565776087</v>
      </c>
      <c r="K92" s="307">
        <f t="shared" ca="1" si="44"/>
        <v>51.275003439261987</v>
      </c>
      <c r="L92" s="304">
        <f t="shared" ca="1" si="29"/>
        <v>52.160976919746055</v>
      </c>
      <c r="M92" s="306">
        <f t="shared" ca="1" si="45"/>
        <v>1.3803372844385786</v>
      </c>
      <c r="N92" s="304">
        <f t="shared" ca="1" si="46"/>
        <v>79.087500702879595</v>
      </c>
      <c r="P92" s="310">
        <f t="shared" ca="1" si="47"/>
        <v>8</v>
      </c>
      <c r="Q92" s="304">
        <f t="shared" ca="1" si="48"/>
        <v>1286.4849999999997</v>
      </c>
      <c r="R92" s="306">
        <f t="shared" ca="1" si="49"/>
        <v>0.63221957150454522</v>
      </c>
      <c r="S92" s="307">
        <f t="shared" ca="1" si="50"/>
        <v>8.3996378731734715</v>
      </c>
      <c r="T92" s="304">
        <f t="shared" ca="1" si="30"/>
        <v>82.400447535831759</v>
      </c>
      <c r="U92" s="311">
        <f t="shared" ca="1" si="31"/>
        <v>0</v>
      </c>
      <c r="V92" s="306">
        <f t="shared" ca="1" si="32"/>
        <v>1.218734874295792</v>
      </c>
      <c r="W92" s="304">
        <f t="shared" ca="1" si="33"/>
        <v>58.73831486649518</v>
      </c>
      <c r="Y92" s="314" t="str">
        <f t="shared" ca="1" si="51"/>
        <v/>
      </c>
      <c r="Z92" s="315" t="str">
        <f t="shared" ca="1" si="52"/>
        <v/>
      </c>
      <c r="AA92" s="316" t="str">
        <f t="shared" ca="1" si="53"/>
        <v/>
      </c>
      <c r="AC92" s="310" t="e">
        <f t="shared" ca="1" si="54"/>
        <v>#N/A</v>
      </c>
      <c r="AD92" s="323" t="e">
        <f t="shared" ca="1" si="55"/>
        <v>#N/A</v>
      </c>
      <c r="AE92" s="324">
        <f t="shared" ca="1" si="34"/>
        <v>51.275003439261987</v>
      </c>
      <c r="AG92" s="306">
        <f t="shared" ca="1" si="56"/>
        <v>136.6902907540186</v>
      </c>
      <c r="AH92" s="304">
        <f t="shared" ca="1" si="57"/>
        <v>146.32318599903945</v>
      </c>
    </row>
    <row r="93" spans="1:34" x14ac:dyDescent="0.2">
      <c r="A93" s="347">
        <f t="shared" ca="1" si="35"/>
        <v>0.01</v>
      </c>
      <c r="B93" s="304">
        <f t="shared" ca="1" si="36"/>
        <v>0.89000000000000057</v>
      </c>
      <c r="D93" s="306">
        <f t="shared" ca="1" si="37"/>
        <v>27.638644031708974</v>
      </c>
      <c r="E93" s="307">
        <f t="shared" ca="1" si="38"/>
        <v>133.54701098843751</v>
      </c>
      <c r="F93" s="304">
        <f t="shared" ca="1" si="39"/>
        <v>136.37704641125416</v>
      </c>
      <c r="G93" s="306">
        <f t="shared" ca="1" si="40"/>
        <v>23.14353817338063</v>
      </c>
      <c r="H93" s="307">
        <f t="shared" ca="1" si="41"/>
        <v>119.94355082868215</v>
      </c>
      <c r="I93" s="304">
        <f t="shared" ca="1" si="42"/>
        <v>122.15596074107634</v>
      </c>
      <c r="J93" s="306">
        <f t="shared" ca="1" si="43"/>
        <v>9.8030120061098298</v>
      </c>
      <c r="K93" s="307">
        <f t="shared" ca="1" si="44"/>
        <v>52.467761596999388</v>
      </c>
      <c r="L93" s="304">
        <f t="shared" ca="1" si="29"/>
        <v>53.375697198177164</v>
      </c>
      <c r="M93" s="306">
        <f t="shared" ca="1" si="45"/>
        <v>1.3801852552025806</v>
      </c>
      <c r="N93" s="304">
        <f t="shared" ca="1" si="46"/>
        <v>79.078790069294314</v>
      </c>
      <c r="P93" s="310">
        <f t="shared" ca="1" si="47"/>
        <v>8</v>
      </c>
      <c r="Q93" s="304">
        <f t="shared" ca="1" si="48"/>
        <v>1284.1389999999997</v>
      </c>
      <c r="R93" s="306">
        <f t="shared" ca="1" si="49"/>
        <v>0.63106667262523486</v>
      </c>
      <c r="S93" s="307">
        <f t="shared" ca="1" si="50"/>
        <v>8.3933272064472195</v>
      </c>
      <c r="T93" s="304">
        <f t="shared" ca="1" si="30"/>
        <v>82.338539895247223</v>
      </c>
      <c r="U93" s="311">
        <f t="shared" ca="1" si="31"/>
        <v>0</v>
      </c>
      <c r="V93" s="306">
        <f t="shared" ca="1" si="32"/>
        <v>1.2185895163906544</v>
      </c>
      <c r="W93" s="304">
        <f t="shared" ca="1" si="33"/>
        <v>60.064850109021776</v>
      </c>
      <c r="Y93" s="314" t="str">
        <f t="shared" ca="1" si="51"/>
        <v/>
      </c>
      <c r="Z93" s="315" t="str">
        <f t="shared" ca="1" si="52"/>
        <v/>
      </c>
      <c r="AA93" s="316" t="str">
        <f t="shared" ca="1" si="53"/>
        <v/>
      </c>
      <c r="AC93" s="310" t="e">
        <f t="shared" ca="1" si="54"/>
        <v>#N/A</v>
      </c>
      <c r="AD93" s="323" t="e">
        <f t="shared" ca="1" si="55"/>
        <v>#N/A</v>
      </c>
      <c r="AE93" s="324">
        <f t="shared" ca="1" si="34"/>
        <v>52.467761596999388</v>
      </c>
      <c r="AG93" s="306">
        <f t="shared" ca="1" si="56"/>
        <v>136.36440101598066</v>
      </c>
      <c r="AH93" s="304">
        <f t="shared" ca="1" si="57"/>
        <v>145.99701107711252</v>
      </c>
    </row>
    <row r="94" spans="1:34" x14ac:dyDescent="0.2">
      <c r="A94" s="347">
        <f t="shared" ca="1" si="35"/>
        <v>0.01</v>
      </c>
      <c r="B94" s="304">
        <f t="shared" ca="1" si="36"/>
        <v>0.90000000000000058</v>
      </c>
      <c r="D94" s="306">
        <f t="shared" ca="1" si="37"/>
        <v>27.598251933374772</v>
      </c>
      <c r="E94" s="307">
        <f t="shared" ca="1" si="38"/>
        <v>133.22052146801363</v>
      </c>
      <c r="F94" s="304">
        <f t="shared" ca="1" si="39"/>
        <v>136.04914865587179</v>
      </c>
      <c r="G94" s="306">
        <f t="shared" ca="1" si="40"/>
        <v>23.419520692714379</v>
      </c>
      <c r="H94" s="307">
        <f t="shared" ca="1" si="41"/>
        <v>121.27575604336228</v>
      </c>
      <c r="I94" s="304">
        <f t="shared" ca="1" si="42"/>
        <v>123.5163266672289</v>
      </c>
      <c r="J94" s="306">
        <f t="shared" ca="1" si="43"/>
        <v>10.035827300440305</v>
      </c>
      <c r="K94" s="307">
        <f t="shared" ca="1" si="44"/>
        <v>53.673858131359609</v>
      </c>
      <c r="L94" s="304">
        <f t="shared" ca="1" si="29"/>
        <v>54.604037179585731</v>
      </c>
      <c r="M94" s="306">
        <f t="shared" ca="1" si="45"/>
        <v>1.3800347818032095</v>
      </c>
      <c r="N94" s="304">
        <f t="shared" ca="1" si="46"/>
        <v>79.070168578581359</v>
      </c>
      <c r="P94" s="310">
        <f t="shared" ca="1" si="47"/>
        <v>8</v>
      </c>
      <c r="Q94" s="304">
        <f t="shared" ca="1" si="48"/>
        <v>1281.7929999999997</v>
      </c>
      <c r="R94" s="306">
        <f t="shared" ca="1" si="49"/>
        <v>0.62991377374592439</v>
      </c>
      <c r="S94" s="307">
        <f t="shared" ca="1" si="50"/>
        <v>8.3870280687097605</v>
      </c>
      <c r="T94" s="304">
        <f t="shared" ca="1" si="30"/>
        <v>82.27674535404276</v>
      </c>
      <c r="U94" s="311">
        <f t="shared" ca="1" si="31"/>
        <v>0</v>
      </c>
      <c r="V94" s="306">
        <f t="shared" ca="1" si="32"/>
        <v>1.2184425505594574</v>
      </c>
      <c r="W94" s="304">
        <f t="shared" ca="1" si="33"/>
        <v>61.402693804083974</v>
      </c>
      <c r="Y94" s="314" t="str">
        <f t="shared" ca="1" si="51"/>
        <v/>
      </c>
      <c r="Z94" s="315" t="str">
        <f t="shared" ca="1" si="52"/>
        <v/>
      </c>
      <c r="AA94" s="316" t="str">
        <f t="shared" ca="1" si="53"/>
        <v/>
      </c>
      <c r="AC94" s="310" t="e">
        <f t="shared" ca="1" si="54"/>
        <v>#N/A</v>
      </c>
      <c r="AD94" s="323" t="e">
        <f t="shared" ca="1" si="55"/>
        <v>#N/A</v>
      </c>
      <c r="AE94" s="324">
        <f t="shared" ca="1" si="34"/>
        <v>53.673858131359609</v>
      </c>
      <c r="AG94" s="306">
        <f t="shared" ca="1" si="56"/>
        <v>136.03645278091605</v>
      </c>
      <c r="AH94" s="304">
        <f t="shared" ca="1" si="57"/>
        <v>145.66878039302014</v>
      </c>
    </row>
    <row r="95" spans="1:34" x14ac:dyDescent="0.2">
      <c r="A95" s="347">
        <f t="shared" ca="1" si="35"/>
        <v>0.01</v>
      </c>
      <c r="B95" s="304">
        <f t="shared" ca="1" si="36"/>
        <v>0.91000000000000059</v>
      </c>
      <c r="D95" s="306">
        <f t="shared" ca="1" si="37"/>
        <v>27.548888180737723</v>
      </c>
      <c r="E95" s="307">
        <f t="shared" ca="1" si="38"/>
        <v>132.8492920542723</v>
      </c>
      <c r="F95" s="304">
        <f t="shared" ca="1" si="39"/>
        <v>135.67562654845611</v>
      </c>
      <c r="G95" s="306">
        <f t="shared" ca="1" si="40"/>
        <v>23.695009574521755</v>
      </c>
      <c r="H95" s="307">
        <f t="shared" ca="1" si="41"/>
        <v>122.60424896390501</v>
      </c>
      <c r="I95" s="304">
        <f t="shared" ca="1" si="42"/>
        <v>124.8729568110721</v>
      </c>
      <c r="J95" s="306">
        <f t="shared" ca="1" si="43"/>
        <v>10.271399951776486</v>
      </c>
      <c r="K95" s="307">
        <f t="shared" ca="1" si="44"/>
        <v>54.893258156395945</v>
      </c>
      <c r="L95" s="304">
        <f t="shared" ca="1" si="29"/>
        <v>55.845961787707481</v>
      </c>
      <c r="M95" s="306">
        <f t="shared" ca="1" si="45"/>
        <v>1.3798858270903123</v>
      </c>
      <c r="N95" s="304">
        <f t="shared" ca="1" si="46"/>
        <v>79.061634102193764</v>
      </c>
      <c r="P95" s="310">
        <f t="shared" ca="1" si="47"/>
        <v>9</v>
      </c>
      <c r="Q95" s="304">
        <f t="shared" ca="1" si="48"/>
        <v>1279.0819999999997</v>
      </c>
      <c r="R95" s="306">
        <f t="shared" ca="1" si="49"/>
        <v>0.62858150227882692</v>
      </c>
      <c r="S95" s="307">
        <f t="shared" ca="1" si="50"/>
        <v>8.3807422536869716</v>
      </c>
      <c r="T95" s="304">
        <f t="shared" ca="1" si="30"/>
        <v>82.215081508669201</v>
      </c>
      <c r="U95" s="311">
        <f t="shared" ca="1" si="31"/>
        <v>0</v>
      </c>
      <c r="V95" s="306">
        <f t="shared" ca="1" si="32"/>
        <v>1.2182939816357052</v>
      </c>
      <c r="W95" s="304">
        <f t="shared" ca="1" si="33"/>
        <v>62.751270330236416</v>
      </c>
      <c r="Y95" s="314" t="str">
        <f t="shared" ca="1" si="51"/>
        <v/>
      </c>
      <c r="Z95" s="315" t="str">
        <f t="shared" ca="1" si="52"/>
        <v/>
      </c>
      <c r="AA95" s="316" t="str">
        <f t="shared" ca="1" si="53"/>
        <v/>
      </c>
      <c r="AC95" s="310" t="e">
        <f t="shared" ca="1" si="54"/>
        <v>#N/A</v>
      </c>
      <c r="AD95" s="323" t="e">
        <f t="shared" ca="1" si="55"/>
        <v>#N/A</v>
      </c>
      <c r="AE95" s="324">
        <f t="shared" ca="1" si="34"/>
        <v>54.893258156395945</v>
      </c>
      <c r="AG95" s="306">
        <f t="shared" ca="1" si="56"/>
        <v>135.66287585334416</v>
      </c>
      <c r="AH95" s="304">
        <f t="shared" ca="1" si="57"/>
        <v>145.29492368772196</v>
      </c>
    </row>
    <row r="96" spans="1:34" x14ac:dyDescent="0.2">
      <c r="A96" s="347">
        <f t="shared" ca="1" si="35"/>
        <v>0.01</v>
      </c>
      <c r="B96" s="304">
        <f t="shared" ca="1" si="36"/>
        <v>0.9200000000000006</v>
      </c>
      <c r="D96" s="306">
        <f t="shared" ca="1" si="37"/>
        <v>27.490527569962008</v>
      </c>
      <c r="E96" s="307">
        <f t="shared" ca="1" si="38"/>
        <v>132.43326332245189</v>
      </c>
      <c r="F96" s="304">
        <f t="shared" ca="1" si="39"/>
        <v>135.256417002332</v>
      </c>
      <c r="G96" s="306">
        <f t="shared" ca="1" si="40"/>
        <v>23.969914850221375</v>
      </c>
      <c r="H96" s="307">
        <f t="shared" ca="1" si="41"/>
        <v>123.92858159712952</v>
      </c>
      <c r="I96" s="304">
        <f t="shared" ca="1" si="42"/>
        <v>126.22539425410108</v>
      </c>
      <c r="J96" s="306">
        <f t="shared" ca="1" si="43"/>
        <v>10.509724573900202</v>
      </c>
      <c r="K96" s="307">
        <f t="shared" ca="1" si="44"/>
        <v>56.125922309201115</v>
      </c>
      <c r="L96" s="304">
        <f t="shared" ca="1" si="29"/>
        <v>57.101431380287842</v>
      </c>
      <c r="M96" s="306">
        <f t="shared" ca="1" si="45"/>
        <v>1.3797383546841304</v>
      </c>
      <c r="N96" s="304">
        <f t="shared" ca="1" si="46"/>
        <v>79.053184555724911</v>
      </c>
      <c r="P96" s="310">
        <f t="shared" ca="1" si="47"/>
        <v>9</v>
      </c>
      <c r="Q96" s="304">
        <f t="shared" ca="1" si="48"/>
        <v>1276.0059999999996</v>
      </c>
      <c r="R96" s="306">
        <f t="shared" ca="1" si="49"/>
        <v>0.62706985822394257</v>
      </c>
      <c r="S96" s="307">
        <f t="shared" ca="1" si="50"/>
        <v>8.3744715551047317</v>
      </c>
      <c r="T96" s="304">
        <f t="shared" ca="1" si="30"/>
        <v>82.15356595557742</v>
      </c>
      <c r="U96" s="311">
        <f t="shared" ca="1" si="31"/>
        <v>0</v>
      </c>
      <c r="V96" s="306">
        <f t="shared" ca="1" si="32"/>
        <v>1.2181438150024484</v>
      </c>
      <c r="W96" s="304">
        <f t="shared" ca="1" si="33"/>
        <v>64.109984046426149</v>
      </c>
      <c r="Y96" s="314" t="str">
        <f t="shared" ca="1" si="51"/>
        <v/>
      </c>
      <c r="Z96" s="315" t="str">
        <f t="shared" ca="1" si="52"/>
        <v/>
      </c>
      <c r="AA96" s="316" t="str">
        <f t="shared" ca="1" si="53"/>
        <v/>
      </c>
      <c r="AC96" s="310" t="e">
        <f t="shared" ca="1" si="54"/>
        <v>#N/A</v>
      </c>
      <c r="AD96" s="323" t="e">
        <f t="shared" ca="1" si="55"/>
        <v>#N/A</v>
      </c>
      <c r="AE96" s="324">
        <f t="shared" ca="1" si="34"/>
        <v>56.125922309201115</v>
      </c>
      <c r="AG96" s="306">
        <f t="shared" ca="1" si="56"/>
        <v>135.24360704470604</v>
      </c>
      <c r="AH96" s="304">
        <f t="shared" ca="1" si="57"/>
        <v>144.87537771027633</v>
      </c>
    </row>
    <row r="97" spans="1:34" x14ac:dyDescent="0.2">
      <c r="A97" s="347">
        <f t="shared" ca="1" si="35"/>
        <v>0.01</v>
      </c>
      <c r="B97" s="304">
        <f t="shared" ca="1" si="36"/>
        <v>0.9300000000000006</v>
      </c>
      <c r="D97" s="306">
        <f t="shared" ca="1" si="37"/>
        <v>27.431434405821769</v>
      </c>
      <c r="E97" s="307">
        <f t="shared" ca="1" si="38"/>
        <v>132.01523293597742</v>
      </c>
      <c r="F97" s="304">
        <f t="shared" ca="1" si="39"/>
        <v>134.83510418545046</v>
      </c>
      <c r="G97" s="306">
        <f t="shared" ca="1" si="40"/>
        <v>24.244229194279594</v>
      </c>
      <c r="H97" s="307">
        <f t="shared" ca="1" si="41"/>
        <v>125.24873392648929</v>
      </c>
      <c r="I97" s="304">
        <f t="shared" ca="1" si="42"/>
        <v>127.57361796003619</v>
      </c>
      <c r="J97" s="306">
        <f t="shared" ca="1" si="43"/>
        <v>10.750795294122707</v>
      </c>
      <c r="K97" s="307">
        <f t="shared" ca="1" si="44"/>
        <v>57.37180888681921</v>
      </c>
      <c r="L97" s="304">
        <f t="shared" ca="1" si="29"/>
        <v>58.370403925292813</v>
      </c>
      <c r="M97" s="306">
        <f t="shared" ca="1" si="45"/>
        <v>1.3795923294564223</v>
      </c>
      <c r="N97" s="304">
        <f t="shared" ca="1" si="46"/>
        <v>79.044817926474792</v>
      </c>
      <c r="P97" s="310">
        <f t="shared" ca="1" si="47"/>
        <v>9</v>
      </c>
      <c r="Q97" s="304">
        <f t="shared" ca="1" si="48"/>
        <v>1272.9299999999996</v>
      </c>
      <c r="R97" s="306">
        <f t="shared" ca="1" si="49"/>
        <v>0.6255582141690581</v>
      </c>
      <c r="S97" s="307">
        <f t="shared" ca="1" si="50"/>
        <v>8.368215972963041</v>
      </c>
      <c r="T97" s="304">
        <f t="shared" ca="1" si="30"/>
        <v>82.092198694767433</v>
      </c>
      <c r="U97" s="311">
        <f t="shared" ca="1" si="31"/>
        <v>0</v>
      </c>
      <c r="V97" s="306">
        <f t="shared" ca="1" si="32"/>
        <v>1.2179920563316062</v>
      </c>
      <c r="W97" s="304">
        <f t="shared" ca="1" si="33"/>
        <v>65.478667504139466</v>
      </c>
      <c r="Y97" s="314" t="str">
        <f t="shared" ca="1" si="51"/>
        <v/>
      </c>
      <c r="Z97" s="315" t="str">
        <f t="shared" ca="1" si="52"/>
        <v/>
      </c>
      <c r="AA97" s="316" t="str">
        <f t="shared" ca="1" si="53"/>
        <v/>
      </c>
      <c r="AC97" s="310" t="e">
        <f t="shared" ca="1" si="54"/>
        <v>#N/A</v>
      </c>
      <c r="AD97" s="323" t="e">
        <f t="shared" ca="1" si="55"/>
        <v>#N/A</v>
      </c>
      <c r="AE97" s="324">
        <f t="shared" ca="1" si="34"/>
        <v>57.37180888681921</v>
      </c>
      <c r="AG97" s="306">
        <f t="shared" ca="1" si="56"/>
        <v>134.8222345785575</v>
      </c>
      <c r="AH97" s="304">
        <f t="shared" ca="1" si="57"/>
        <v>144.45373062301007</v>
      </c>
    </row>
    <row r="98" spans="1:34" x14ac:dyDescent="0.2">
      <c r="A98" s="347">
        <f t="shared" ca="1" si="35"/>
        <v>0.01</v>
      </c>
      <c r="B98" s="304">
        <f t="shared" ca="1" si="36"/>
        <v>0.94000000000000061</v>
      </c>
      <c r="D98" s="306">
        <f t="shared" ca="1" si="37"/>
        <v>27.371617950681138</v>
      </c>
      <c r="E98" s="307">
        <f t="shared" ca="1" si="38"/>
        <v>131.59521714962477</v>
      </c>
      <c r="F98" s="304">
        <f t="shared" ca="1" si="39"/>
        <v>134.41170576216547</v>
      </c>
      <c r="G98" s="306">
        <f t="shared" ca="1" si="40"/>
        <v>24.517945373786404</v>
      </c>
      <c r="H98" s="307">
        <f t="shared" ca="1" si="41"/>
        <v>126.56468609798554</v>
      </c>
      <c r="I98" s="304">
        <f t="shared" ca="1" si="42"/>
        <v>128.91760706914161</v>
      </c>
      <c r="J98" s="306">
        <f t="shared" ca="1" si="43"/>
        <v>10.994606166963036</v>
      </c>
      <c r="K98" s="307">
        <f t="shared" ca="1" si="44"/>
        <v>58.630875986941582</v>
      </c>
      <c r="L98" s="304">
        <f t="shared" ca="1" si="29"/>
        <v>59.652837181166369</v>
      </c>
      <c r="M98" s="306">
        <f t="shared" ca="1" si="45"/>
        <v>1.3794477174732331</v>
      </c>
      <c r="N98" s="304">
        <f t="shared" ca="1" si="46"/>
        <v>79.036532270171037</v>
      </c>
      <c r="P98" s="310">
        <f t="shared" ca="1" si="47"/>
        <v>9</v>
      </c>
      <c r="Q98" s="304">
        <f t="shared" ca="1" si="48"/>
        <v>1269.8539999999998</v>
      </c>
      <c r="R98" s="306">
        <f t="shared" ca="1" si="49"/>
        <v>0.62404657011417375</v>
      </c>
      <c r="S98" s="307">
        <f t="shared" ca="1" si="50"/>
        <v>8.3619755072618993</v>
      </c>
      <c r="T98" s="304">
        <f t="shared" ca="1" si="30"/>
        <v>82.030979726239238</v>
      </c>
      <c r="U98" s="311">
        <f t="shared" ca="1" si="31"/>
        <v>0</v>
      </c>
      <c r="V98" s="306">
        <f t="shared" ca="1" si="32"/>
        <v>1.217838711323016</v>
      </c>
      <c r="W98" s="304">
        <f t="shared" ca="1" si="33"/>
        <v>66.857152976519757</v>
      </c>
      <c r="Y98" s="314" t="str">
        <f t="shared" ca="1" si="51"/>
        <v/>
      </c>
      <c r="Z98" s="315" t="str">
        <f t="shared" ca="1" si="52"/>
        <v/>
      </c>
      <c r="AA98" s="316" t="str">
        <f t="shared" ca="1" si="53"/>
        <v/>
      </c>
      <c r="AC98" s="310" t="e">
        <f t="shared" ca="1" si="54"/>
        <v>#N/A</v>
      </c>
      <c r="AD98" s="323" t="e">
        <f t="shared" ca="1" si="55"/>
        <v>#N/A</v>
      </c>
      <c r="AE98" s="324">
        <f t="shared" ca="1" si="34"/>
        <v>58.630875986941582</v>
      </c>
      <c r="AG98" s="306">
        <f t="shared" ca="1" si="56"/>
        <v>134.39877611025807</v>
      </c>
      <c r="AH98" s="304">
        <f t="shared" ca="1" si="57"/>
        <v>144.03000002211547</v>
      </c>
    </row>
    <row r="99" spans="1:34" x14ac:dyDescent="0.2">
      <c r="A99" s="347">
        <f t="shared" ca="1" si="35"/>
        <v>0.01</v>
      </c>
      <c r="B99" s="304">
        <f t="shared" ca="1" si="36"/>
        <v>0.95000000000000062</v>
      </c>
      <c r="D99" s="306">
        <f t="shared" ca="1" si="37"/>
        <v>27.31108728790765</v>
      </c>
      <c r="E99" s="307">
        <f t="shared" ca="1" si="38"/>
        <v>131.17323235862952</v>
      </c>
      <c r="F99" s="304">
        <f t="shared" ca="1" si="39"/>
        <v>133.98623950338603</v>
      </c>
      <c r="G99" s="306">
        <f t="shared" ca="1" si="40"/>
        <v>24.79105624666548</v>
      </c>
      <c r="H99" s="307">
        <f t="shared" ca="1" si="41"/>
        <v>127.87641842157184</v>
      </c>
      <c r="I99" s="304">
        <f t="shared" ca="1" si="42"/>
        <v>130.25734089929153</v>
      </c>
      <c r="J99" s="306">
        <f t="shared" ca="1" si="43"/>
        <v>11.241151175065296</v>
      </c>
      <c r="K99" s="307">
        <f t="shared" ca="1" si="44"/>
        <v>59.903081509539369</v>
      </c>
      <c r="L99" s="304">
        <f t="shared" ca="1" si="29"/>
        <v>60.948688698602773</v>
      </c>
      <c r="M99" s="306">
        <f t="shared" ca="1" si="45"/>
        <v>1.3793044859409049</v>
      </c>
      <c r="N99" s="304">
        <f t="shared" ca="1" si="46"/>
        <v>79.028325707875439</v>
      </c>
      <c r="P99" s="310">
        <f t="shared" ca="1" si="47"/>
        <v>9</v>
      </c>
      <c r="Q99" s="304">
        <f t="shared" ca="1" si="48"/>
        <v>1266.7779999999998</v>
      </c>
      <c r="R99" s="306">
        <f t="shared" ca="1" si="49"/>
        <v>0.6225349260592894</v>
      </c>
      <c r="S99" s="307">
        <f t="shared" ca="1" si="50"/>
        <v>8.3557501580013067</v>
      </c>
      <c r="T99" s="304">
        <f t="shared" ca="1" si="30"/>
        <v>81.969909049992822</v>
      </c>
      <c r="U99" s="311">
        <f t="shared" ca="1" si="31"/>
        <v>0</v>
      </c>
      <c r="V99" s="306">
        <f t="shared" ca="1" si="32"/>
        <v>1.2176837857041469</v>
      </c>
      <c r="W99" s="304">
        <f t="shared" ca="1" si="33"/>
        <v>68.245272479031243</v>
      </c>
      <c r="Y99" s="314" t="str">
        <f t="shared" ca="1" si="51"/>
        <v/>
      </c>
      <c r="Z99" s="315" t="str">
        <f t="shared" ca="1" si="52"/>
        <v/>
      </c>
      <c r="AA99" s="316" t="str">
        <f t="shared" ca="1" si="53"/>
        <v/>
      </c>
      <c r="AC99" s="310" t="e">
        <f t="shared" ca="1" si="54"/>
        <v>#N/A</v>
      </c>
      <c r="AD99" s="323" t="e">
        <f t="shared" ca="1" si="55"/>
        <v>#N/A</v>
      </c>
      <c r="AE99" s="324">
        <f t="shared" ca="1" si="34"/>
        <v>59.903081509539369</v>
      </c>
      <c r="AG99" s="306">
        <f t="shared" ca="1" si="56"/>
        <v>133.97324940175605</v>
      </c>
      <c r="AH99" s="304">
        <f t="shared" ca="1" si="57"/>
        <v>143.60420361234219</v>
      </c>
    </row>
    <row r="100" spans="1:34" x14ac:dyDescent="0.2">
      <c r="A100" s="347">
        <f t="shared" ca="1" si="35"/>
        <v>0.01</v>
      </c>
      <c r="B100" s="304">
        <f t="shared" ca="1" si="36"/>
        <v>0.96000000000000063</v>
      </c>
      <c r="D100" s="306">
        <f t="shared" ca="1" si="37"/>
        <v>27.249851330670946</v>
      </c>
      <c r="E100" s="307">
        <f t="shared" ca="1" si="38"/>
        <v>130.7492950947865</v>
      </c>
      <c r="F100" s="304">
        <f t="shared" ca="1" si="39"/>
        <v>133.55872328428134</v>
      </c>
      <c r="G100" s="306">
        <f t="shared" ca="1" si="40"/>
        <v>25.063554759972188</v>
      </c>
      <c r="H100" s="307">
        <f t="shared" ca="1" si="41"/>
        <v>129.1839113725197</v>
      </c>
      <c r="I100" s="304">
        <f t="shared" ca="1" si="42"/>
        <v>131.59279894701362</v>
      </c>
      <c r="J100" s="306">
        <f t="shared" ca="1" si="43"/>
        <v>11.490424230098485</v>
      </c>
      <c r="K100" s="307">
        <f t="shared" ca="1" si="44"/>
        <v>61.188383158509829</v>
      </c>
      <c r="L100" s="304">
        <f t="shared" ca="1" si="29"/>
        <v>62.257915822329323</v>
      </c>
      <c r="M100" s="306">
        <f t="shared" ca="1" si="45"/>
        <v>1.3791626031551132</v>
      </c>
      <c r="N100" s="304">
        <f t="shared" ca="1" si="46"/>
        <v>79.020196423064021</v>
      </c>
      <c r="P100" s="310">
        <f t="shared" ca="1" si="47"/>
        <v>9</v>
      </c>
      <c r="Q100" s="304">
        <f t="shared" ca="1" si="48"/>
        <v>1263.7019999999998</v>
      </c>
      <c r="R100" s="306">
        <f t="shared" ca="1" si="49"/>
        <v>0.62102328200440493</v>
      </c>
      <c r="S100" s="307">
        <f t="shared" ca="1" si="50"/>
        <v>8.3495399251812632</v>
      </c>
      <c r="T100" s="304">
        <f t="shared" ca="1" si="30"/>
        <v>81.908986666028198</v>
      </c>
      <c r="U100" s="311">
        <f t="shared" ca="1" si="31"/>
        <v>0</v>
      </c>
      <c r="V100" s="306">
        <f t="shared" ca="1" si="32"/>
        <v>1.217527285229812</v>
      </c>
      <c r="W100" s="304">
        <f t="shared" ca="1" si="33"/>
        <v>69.642857790090403</v>
      </c>
      <c r="Y100" s="314" t="str">
        <f t="shared" ca="1" si="51"/>
        <v/>
      </c>
      <c r="Z100" s="315" t="str">
        <f t="shared" ca="1" si="52"/>
        <v/>
      </c>
      <c r="AA100" s="316" t="str">
        <f t="shared" ca="1" si="53"/>
        <v/>
      </c>
      <c r="AC100" s="310" t="e">
        <f t="shared" ca="1" si="54"/>
        <v>#N/A</v>
      </c>
      <c r="AD100" s="323" t="e">
        <f t="shared" ca="1" si="55"/>
        <v>#N/A</v>
      </c>
      <c r="AE100" s="324">
        <f t="shared" ca="1" si="34"/>
        <v>61.188383158509829</v>
      </c>
      <c r="AG100" s="306">
        <f t="shared" ca="1" si="56"/>
        <v>133.54567231928681</v>
      </c>
      <c r="AH100" s="304">
        <f t="shared" ca="1" si="57"/>
        <v>143.17635920460802</v>
      </c>
    </row>
    <row r="101" spans="1:34" x14ac:dyDescent="0.2">
      <c r="A101" s="347">
        <f t="shared" ca="1" si="35"/>
        <v>0.01</v>
      </c>
      <c r="B101" s="304">
        <f t="shared" ca="1" si="36"/>
        <v>0.97000000000000064</v>
      </c>
      <c r="D101" s="306">
        <f t="shared" ca="1" si="37"/>
        <v>27.187918830219719</v>
      </c>
      <c r="E101" s="307">
        <f t="shared" ca="1" si="38"/>
        <v>130.32342202262529</v>
      </c>
      <c r="F101" s="304">
        <f t="shared" ca="1" si="39"/>
        <v>133.12917508197035</v>
      </c>
      <c r="G101" s="306">
        <f t="shared" ca="1" si="40"/>
        <v>25.335433948274385</v>
      </c>
      <c r="H101" s="307">
        <f t="shared" ca="1" si="41"/>
        <v>130.48714559274595</v>
      </c>
      <c r="I101" s="304">
        <f t="shared" ca="1" si="42"/>
        <v>132.92396088850893</v>
      </c>
      <c r="J101" s="306">
        <f t="shared" ca="1" si="43"/>
        <v>11.742419173639718</v>
      </c>
      <c r="K101" s="307">
        <f t="shared" ca="1" si="44"/>
        <v>62.486738443336158</v>
      </c>
      <c r="L101" s="304">
        <f t="shared" ca="1" si="29"/>
        <v>63.580475692899363</v>
      </c>
      <c r="M101" s="306">
        <f t="shared" ca="1" si="45"/>
        <v>1.3790220384527256</v>
      </c>
      <c r="N101" s="304">
        <f t="shared" ca="1" si="46"/>
        <v>79.012142658868697</v>
      </c>
      <c r="P101" s="310">
        <f t="shared" ca="1" si="47"/>
        <v>9</v>
      </c>
      <c r="Q101" s="304">
        <f t="shared" ca="1" si="48"/>
        <v>1260.6259999999997</v>
      </c>
      <c r="R101" s="306">
        <f t="shared" ca="1" si="49"/>
        <v>0.61951163794952047</v>
      </c>
      <c r="S101" s="307">
        <f t="shared" ca="1" si="50"/>
        <v>8.3433448088017688</v>
      </c>
      <c r="T101" s="304">
        <f t="shared" ca="1" si="30"/>
        <v>81.848212574345354</v>
      </c>
      <c r="U101" s="311">
        <f t="shared" ca="1" si="31"/>
        <v>0</v>
      </c>
      <c r="V101" s="306">
        <f t="shared" ca="1" si="32"/>
        <v>1.2173692156818818</v>
      </c>
      <c r="W101" s="304">
        <f t="shared" ca="1" si="33"/>
        <v>71.04974047166067</v>
      </c>
      <c r="Y101" s="314" t="str">
        <f t="shared" ca="1" si="51"/>
        <v/>
      </c>
      <c r="Z101" s="315" t="str">
        <f t="shared" ca="1" si="52"/>
        <v/>
      </c>
      <c r="AA101" s="316" t="str">
        <f t="shared" ca="1" si="53"/>
        <v/>
      </c>
      <c r="AC101" s="310" t="e">
        <f t="shared" ca="1" si="54"/>
        <v>#N/A</v>
      </c>
      <c r="AD101" s="323" t="e">
        <f t="shared" ca="1" si="55"/>
        <v>#N/A</v>
      </c>
      <c r="AE101" s="324">
        <f t="shared" ca="1" si="34"/>
        <v>62.486738443336158</v>
      </c>
      <c r="AG101" s="306">
        <f t="shared" ca="1" si="56"/>
        <v>133.11606283105613</v>
      </c>
      <c r="AH101" s="304">
        <f t="shared" ca="1" si="57"/>
        <v>142.74648471359924</v>
      </c>
    </row>
    <row r="102" spans="1:34" x14ac:dyDescent="0.2">
      <c r="A102" s="347">
        <f t="shared" ca="1" si="35"/>
        <v>0.01</v>
      </c>
      <c r="B102" s="304">
        <f t="shared" ca="1" si="36"/>
        <v>0.98000000000000065</v>
      </c>
      <c r="D102" s="306">
        <f t="shared" ca="1" si="37"/>
        <v>27.125298383672277</v>
      </c>
      <c r="E102" s="307">
        <f t="shared" ca="1" si="38"/>
        <v>129.89562993565775</v>
      </c>
      <c r="F102" s="304">
        <f t="shared" ca="1" si="39"/>
        <v>132.69761297319783</v>
      </c>
      <c r="G102" s="306">
        <f t="shared" ca="1" si="40"/>
        <v>25.606686932111106</v>
      </c>
      <c r="H102" s="307">
        <f t="shared" ca="1" si="41"/>
        <v>131.78610189210252</v>
      </c>
      <c r="I102" s="304">
        <f t="shared" ca="1" si="42"/>
        <v>134.2508065806488</v>
      </c>
      <c r="J102" s="306">
        <f t="shared" ca="1" si="43"/>
        <v>11.997129778041645</v>
      </c>
      <c r="K102" s="307">
        <f t="shared" ca="1" si="44"/>
        <v>63.798104680760403</v>
      </c>
      <c r="L102" s="304">
        <f t="shared" ca="1" si="29"/>
        <v>64.916325248495355</v>
      </c>
      <c r="M102" s="306">
        <f t="shared" ca="1" si="45"/>
        <v>1.3788827621662967</v>
      </c>
      <c r="N102" s="304">
        <f t="shared" ca="1" si="46"/>
        <v>79.004162715470073</v>
      </c>
      <c r="P102" s="310">
        <f t="shared" ca="1" si="47"/>
        <v>9</v>
      </c>
      <c r="Q102" s="304">
        <f t="shared" ca="1" si="48"/>
        <v>1257.5499999999997</v>
      </c>
      <c r="R102" s="306">
        <f t="shared" ca="1" si="49"/>
        <v>0.61799999389463611</v>
      </c>
      <c r="S102" s="307">
        <f t="shared" ca="1" si="50"/>
        <v>8.3371648088628216</v>
      </c>
      <c r="T102" s="304">
        <f t="shared" ca="1" si="30"/>
        <v>81.787586774944288</v>
      </c>
      <c r="U102" s="311">
        <f t="shared" ca="1" si="31"/>
        <v>0</v>
      </c>
      <c r="V102" s="306">
        <f t="shared" ca="1" si="32"/>
        <v>1.2172095828689884</v>
      </c>
      <c r="W102" s="304">
        <f t="shared" ca="1" si="33"/>
        <v>72.465751889805588</v>
      </c>
      <c r="Y102" s="314" t="str">
        <f t="shared" ca="1" si="51"/>
        <v/>
      </c>
      <c r="Z102" s="315" t="str">
        <f t="shared" ca="1" si="52"/>
        <v/>
      </c>
      <c r="AA102" s="316" t="str">
        <f t="shared" ca="1" si="53"/>
        <v/>
      </c>
      <c r="AC102" s="310" t="e">
        <f t="shared" ca="1" si="54"/>
        <v>#N/A</v>
      </c>
      <c r="AD102" s="323" t="e">
        <f t="shared" ca="1" si="55"/>
        <v>#N/A</v>
      </c>
      <c r="AE102" s="324">
        <f t="shared" ca="1" si="34"/>
        <v>63.798104680760403</v>
      </c>
      <c r="AG102" s="306">
        <f t="shared" ca="1" si="56"/>
        <v>132.68443900490985</v>
      </c>
      <c r="AH102" s="304">
        <f t="shared" ca="1" si="57"/>
        <v>142.31459815536215</v>
      </c>
    </row>
    <row r="103" spans="1:34" x14ac:dyDescent="0.2">
      <c r="A103" s="347">
        <f t="shared" ca="1" si="35"/>
        <v>0.01</v>
      </c>
      <c r="B103" s="304">
        <f t="shared" ca="1" si="36"/>
        <v>0.99000000000000066</v>
      </c>
      <c r="D103" s="306">
        <f t="shared" ca="1" si="37"/>
        <v>27.061998441352564</v>
      </c>
      <c r="E103" s="307">
        <f t="shared" ca="1" si="38"/>
        <v>129.46593575269213</v>
      </c>
      <c r="F103" s="304">
        <f t="shared" ca="1" si="39"/>
        <v>132.26405513199711</v>
      </c>
      <c r="G103" s="306">
        <f t="shared" ca="1" si="40"/>
        <v>25.877306916524631</v>
      </c>
      <c r="H103" s="307">
        <f t="shared" ca="1" si="41"/>
        <v>133.08076124962943</v>
      </c>
      <c r="I103" s="304">
        <f t="shared" ca="1" si="42"/>
        <v>135.57331606194813</v>
      </c>
      <c r="J103" s="306">
        <f t="shared" ca="1" si="43"/>
        <v>12.254549747284823</v>
      </c>
      <c r="K103" s="307">
        <f t="shared" ca="1" si="44"/>
        <v>65.122438996469057</v>
      </c>
      <c r="L103" s="304">
        <f t="shared" ca="1" si="29"/>
        <v>66.265421226741722</v>
      </c>
      <c r="M103" s="306">
        <f t="shared" ca="1" si="45"/>
        <v>1.3787447455810296</v>
      </c>
      <c r="N103" s="304">
        <f t="shared" ca="1" si="46"/>
        <v>78.996254947631456</v>
      </c>
      <c r="P103" s="310">
        <f t="shared" ca="1" si="47"/>
        <v>9</v>
      </c>
      <c r="Q103" s="304">
        <f t="shared" ca="1" si="48"/>
        <v>1254.4739999999997</v>
      </c>
      <c r="R103" s="306">
        <f t="shared" ca="1" si="49"/>
        <v>0.61648834983975165</v>
      </c>
      <c r="S103" s="307">
        <f t="shared" ca="1" si="50"/>
        <v>8.3309999253644236</v>
      </c>
      <c r="T103" s="304">
        <f t="shared" ca="1" si="30"/>
        <v>81.727109267825</v>
      </c>
      <c r="U103" s="311">
        <f t="shared" ca="1" si="31"/>
        <v>0</v>
      </c>
      <c r="V103" s="306">
        <f t="shared" ca="1" si="32"/>
        <v>1.2170483926262385</v>
      </c>
      <c r="W103" s="304">
        <f t="shared" ca="1" si="33"/>
        <v>73.890723235196901</v>
      </c>
      <c r="Y103" s="314" t="str">
        <f t="shared" ca="1" si="51"/>
        <v/>
      </c>
      <c r="Z103" s="315" t="str">
        <f t="shared" ca="1" si="52"/>
        <v/>
      </c>
      <c r="AA103" s="316" t="str">
        <f t="shared" ca="1" si="53"/>
        <v/>
      </c>
      <c r="AC103" s="310" t="e">
        <f t="shared" ca="1" si="54"/>
        <v>#N/A</v>
      </c>
      <c r="AD103" s="323" t="e">
        <f t="shared" ca="1" si="55"/>
        <v>#N/A</v>
      </c>
      <c r="AE103" s="324">
        <f t="shared" ca="1" si="34"/>
        <v>65.122438996469057</v>
      </c>
      <c r="AG103" s="306">
        <f t="shared" ca="1" si="56"/>
        <v>132.25081900599091</v>
      </c>
      <c r="AH103" s="304">
        <f t="shared" ca="1" si="57"/>
        <v>141.88071764488575</v>
      </c>
    </row>
    <row r="104" spans="1:34" x14ac:dyDescent="0.2">
      <c r="A104" s="347">
        <f t="shared" ca="1" si="35"/>
        <v>0.01</v>
      </c>
      <c r="B104" s="304">
        <f t="shared" ca="1" si="36"/>
        <v>1.0000000000000007</v>
      </c>
      <c r="D104" s="306">
        <f t="shared" ca="1" si="37"/>
        <v>26.998027313700756</v>
      </c>
      <c r="E104" s="307">
        <f t="shared" ca="1" si="38"/>
        <v>129.03435651421034</v>
      </c>
      <c r="F104" s="304">
        <f t="shared" ca="1" si="39"/>
        <v>131.82851982734113</v>
      </c>
      <c r="G104" s="306">
        <f t="shared" ca="1" si="40"/>
        <v>26.14728718966164</v>
      </c>
      <c r="H104" s="307">
        <f t="shared" ca="1" si="41"/>
        <v>134.37110481477154</v>
      </c>
      <c r="I104" s="304">
        <f t="shared" ca="1" si="42"/>
        <v>136.89146955351515</v>
      </c>
      <c r="J104" s="306">
        <f t="shared" ca="1" si="43"/>
        <v>12.514672717815754</v>
      </c>
      <c r="K104" s="307">
        <f t="shared" ca="1" si="44"/>
        <v>66.459698326791056</v>
      </c>
      <c r="L104" s="304">
        <f t="shared" ca="1" si="29"/>
        <v>67.62772016652724</v>
      </c>
      <c r="M104" s="306">
        <f t="shared" ca="1" si="45"/>
        <v>1.3786079608940414</v>
      </c>
      <c r="N104" s="304">
        <f t="shared" ca="1" si="46"/>
        <v>78.988417762365017</v>
      </c>
      <c r="P104" s="310">
        <f t="shared" ca="1" si="47"/>
        <v>9</v>
      </c>
      <c r="Q104" s="304">
        <f t="shared" ca="1" si="48"/>
        <v>1251.3979999999997</v>
      </c>
      <c r="R104" s="306">
        <f t="shared" ca="1" si="49"/>
        <v>0.61497670578486718</v>
      </c>
      <c r="S104" s="307">
        <f t="shared" ca="1" si="50"/>
        <v>8.3248501583065746</v>
      </c>
      <c r="T104" s="304">
        <f t="shared" ca="1" si="30"/>
        <v>81.666780052987505</v>
      </c>
      <c r="U104" s="311">
        <f t="shared" ca="1" si="31"/>
        <v>0</v>
      </c>
      <c r="V104" s="306">
        <f t="shared" ca="1" si="32"/>
        <v>1.2168856508149162</v>
      </c>
      <c r="W104" s="304">
        <f t="shared" ca="1" si="33"/>
        <v>75.324485543572663</v>
      </c>
      <c r="Y104" s="314" t="str">
        <f t="shared" ca="1" si="51"/>
        <v/>
      </c>
      <c r="Z104" s="315" t="str">
        <f t="shared" ca="1" si="52"/>
        <v/>
      </c>
      <c r="AA104" s="316" t="str">
        <f t="shared" ca="1" si="53"/>
        <v/>
      </c>
      <c r="AC104" s="310">
        <f t="shared" ca="1" si="54"/>
        <v>1.0000000000000007</v>
      </c>
      <c r="AD104" s="323">
        <f t="shared" ca="1" si="55"/>
        <v>12.514672717815754</v>
      </c>
      <c r="AE104" s="324">
        <f t="shared" ca="1" si="34"/>
        <v>66.459698326791056</v>
      </c>
      <c r="AG104" s="306">
        <f t="shared" ca="1" si="56"/>
        <v>131.81522109438436</v>
      </c>
      <c r="AH104" s="304">
        <f t="shared" ca="1" si="57"/>
        <v>141.44486139367692</v>
      </c>
    </row>
    <row r="105" spans="1:34" x14ac:dyDescent="0.2">
      <c r="A105" s="347">
        <f t="shared" ca="1" si="35"/>
        <v>0.01</v>
      </c>
      <c r="B105" s="304">
        <f t="shared" ca="1" si="36"/>
        <v>1.0100000000000007</v>
      </c>
      <c r="D105" s="306">
        <f t="shared" ca="1" si="37"/>
        <v>26.932060507239878</v>
      </c>
      <c r="E105" s="307">
        <f t="shared" ca="1" si="38"/>
        <v>128.59406077487733</v>
      </c>
      <c r="F105" s="304">
        <f t="shared" ca="1" si="39"/>
        <v>131.38404906889753</v>
      </c>
      <c r="G105" s="306">
        <f t="shared" ca="1" si="40"/>
        <v>26.416607794734038</v>
      </c>
      <c r="H105" s="307">
        <f t="shared" ca="1" si="41"/>
        <v>135.65704542252033</v>
      </c>
      <c r="I105" s="304">
        <f t="shared" ca="1" si="42"/>
        <v>138.20517768936352</v>
      </c>
      <c r="J105" s="306">
        <f t="shared" ca="1" si="43"/>
        <v>12.777492192737732</v>
      </c>
      <c r="K105" s="307">
        <f t="shared" ca="1" si="44"/>
        <v>67.809839077977514</v>
      </c>
      <c r="L105" s="304">
        <f t="shared" ca="1" si="29"/>
        <v>69.00317806098991</v>
      </c>
      <c r="M105" s="306">
        <f t="shared" ca="1" si="45"/>
        <v>1.3784723811073456</v>
      </c>
      <c r="N105" s="304">
        <f t="shared" ca="1" si="46"/>
        <v>78.980649612800065</v>
      </c>
      <c r="P105" s="310">
        <f t="shared" ca="1" si="47"/>
        <v>10</v>
      </c>
      <c r="Q105" s="304">
        <f t="shared" ca="1" si="48"/>
        <v>1248.2639999999997</v>
      </c>
      <c r="R105" s="306">
        <f t="shared" ca="1" si="49"/>
        <v>0.61343655868863578</v>
      </c>
      <c r="S105" s="307">
        <f t="shared" ca="1" si="50"/>
        <v>8.3187157927196882</v>
      </c>
      <c r="T105" s="304">
        <f t="shared" ca="1" si="30"/>
        <v>81.60660192658014</v>
      </c>
      <c r="U105" s="311">
        <f t="shared" ca="1" si="31"/>
        <v>0</v>
      </c>
      <c r="V105" s="306">
        <f t="shared" ca="1" si="32"/>
        <v>1.2167213633638521</v>
      </c>
      <c r="W105" s="304">
        <f t="shared" ca="1" si="33"/>
        <v>76.76679220984181</v>
      </c>
      <c r="Y105" s="314" t="str">
        <f t="shared" ca="1" si="51"/>
        <v/>
      </c>
      <c r="Z105" s="315" t="str">
        <f t="shared" ca="1" si="52"/>
        <v/>
      </c>
      <c r="AA105" s="316" t="str">
        <f t="shared" ca="1" si="53"/>
        <v/>
      </c>
      <c r="AC105" s="310" t="e">
        <f t="shared" ca="1" si="54"/>
        <v>#N/A</v>
      </c>
      <c r="AD105" s="323" t="e">
        <f t="shared" ca="1" si="55"/>
        <v>#N/A</v>
      </c>
      <c r="AE105" s="324">
        <f t="shared" ca="1" si="34"/>
        <v>67.809839077977514</v>
      </c>
      <c r="AG105" s="306">
        <f t="shared" ca="1" si="56"/>
        <v>131.37068656129787</v>
      </c>
      <c r="AH105" s="304">
        <f t="shared" ca="1" si="57"/>
        <v>141.00007064587439</v>
      </c>
    </row>
    <row r="106" spans="1:34" x14ac:dyDescent="0.2">
      <c r="A106" s="347">
        <f t="shared" ca="1" si="35"/>
        <v>0.01</v>
      </c>
      <c r="B106" s="304">
        <f t="shared" ca="1" si="36"/>
        <v>1.0200000000000007</v>
      </c>
      <c r="D106" s="306">
        <f t="shared" ca="1" si="37"/>
        <v>26.864101220366567</v>
      </c>
      <c r="E106" s="307">
        <f t="shared" ca="1" si="38"/>
        <v>128.14505569087183</v>
      </c>
      <c r="F106" s="304">
        <f t="shared" ca="1" si="39"/>
        <v>130.93065046960831</v>
      </c>
      <c r="G106" s="306">
        <f t="shared" ca="1" si="40"/>
        <v>26.685248806937704</v>
      </c>
      <c r="H106" s="307">
        <f t="shared" ca="1" si="41"/>
        <v>136.93849597942904</v>
      </c>
      <c r="I106" s="304">
        <f t="shared" ca="1" si="42"/>
        <v>139.51435117935458</v>
      </c>
      <c r="J106" s="306">
        <f t="shared" ca="1" si="43"/>
        <v>13.04300147574609</v>
      </c>
      <c r="K106" s="307">
        <f t="shared" ca="1" si="44"/>
        <v>69.172816784987262</v>
      </c>
      <c r="L106" s="304">
        <f t="shared" ca="1" si="29"/>
        <v>70.391750009967296</v>
      </c>
      <c r="M106" s="306">
        <f t="shared" ca="1" si="45"/>
        <v>1.3783379799960758</v>
      </c>
      <c r="N106" s="304">
        <f t="shared" ca="1" si="46"/>
        <v>78.972948996362433</v>
      </c>
      <c r="P106" s="310">
        <f t="shared" ca="1" si="47"/>
        <v>10</v>
      </c>
      <c r="Q106" s="304">
        <f t="shared" ca="1" si="48"/>
        <v>1245.0719999999997</v>
      </c>
      <c r="R106" s="306">
        <f t="shared" ca="1" si="49"/>
        <v>0.61186790855105744</v>
      </c>
      <c r="S106" s="307">
        <f t="shared" ca="1" si="50"/>
        <v>8.3125971136341779</v>
      </c>
      <c r="T106" s="304">
        <f t="shared" ca="1" si="30"/>
        <v>81.546577684751284</v>
      </c>
      <c r="U106" s="311">
        <f t="shared" ca="1" si="31"/>
        <v>0</v>
      </c>
      <c r="V106" s="306">
        <f t="shared" ca="1" si="32"/>
        <v>1.2165555363108203</v>
      </c>
      <c r="W106" s="304">
        <f t="shared" ca="1" si="33"/>
        <v>78.217393504098453</v>
      </c>
      <c r="Y106" s="314" t="str">
        <f t="shared" ca="1" si="51"/>
        <v/>
      </c>
      <c r="Z106" s="315" t="str">
        <f t="shared" ca="1" si="52"/>
        <v/>
      </c>
      <c r="AA106" s="316" t="str">
        <f t="shared" ca="1" si="53"/>
        <v/>
      </c>
      <c r="AC106" s="310" t="e">
        <f t="shared" ca="1" si="54"/>
        <v>#N/A</v>
      </c>
      <c r="AD106" s="323" t="e">
        <f t="shared" ca="1" si="55"/>
        <v>#N/A</v>
      </c>
      <c r="AE106" s="324">
        <f t="shared" ca="1" si="34"/>
        <v>69.172816784987262</v>
      </c>
      <c r="AG106" s="306">
        <f t="shared" ca="1" si="56"/>
        <v>130.9172229921235</v>
      </c>
      <c r="AH106" s="304">
        <f t="shared" ca="1" si="57"/>
        <v>140.54635294111921</v>
      </c>
    </row>
    <row r="107" spans="1:34" x14ac:dyDescent="0.2">
      <c r="A107" s="347">
        <f t="shared" ca="1" si="35"/>
        <v>0.01</v>
      </c>
      <c r="B107" s="304">
        <f t="shared" ca="1" si="36"/>
        <v>1.0300000000000007</v>
      </c>
      <c r="D107" s="306">
        <f t="shared" ca="1" si="37"/>
        <v>26.795489148775367</v>
      </c>
      <c r="E107" s="307">
        <f t="shared" ca="1" si="38"/>
        <v>127.69420727246302</v>
      </c>
      <c r="F107" s="304">
        <f t="shared" ca="1" si="39"/>
        <v>130.47531877586997</v>
      </c>
      <c r="G107" s="306">
        <f t="shared" ca="1" si="40"/>
        <v>26.953203698425458</v>
      </c>
      <c r="H107" s="307">
        <f t="shared" ca="1" si="41"/>
        <v>138.21543805215367</v>
      </c>
      <c r="I107" s="304">
        <f t="shared" ca="1" si="42"/>
        <v>140.81897068775055</v>
      </c>
      <c r="J107" s="306">
        <f t="shared" ca="1" si="43"/>
        <v>13.311193738272905</v>
      </c>
      <c r="K107" s="307">
        <f t="shared" ca="1" si="44"/>
        <v>70.54858645514517</v>
      </c>
      <c r="L107" s="304">
        <f t="shared" ca="1" si="29"/>
        <v>71.79339057014181</v>
      </c>
      <c r="M107" s="306">
        <f t="shared" ca="1" si="45"/>
        <v>1.3782047321443676</v>
      </c>
      <c r="N107" s="304">
        <f t="shared" ca="1" si="46"/>
        <v>78.96531445683037</v>
      </c>
      <c r="P107" s="310">
        <f t="shared" ca="1" si="47"/>
        <v>10</v>
      </c>
      <c r="Q107" s="304">
        <f t="shared" ca="1" si="48"/>
        <v>1241.8799999999997</v>
      </c>
      <c r="R107" s="306">
        <f t="shared" ca="1" si="49"/>
        <v>0.6102992584134791</v>
      </c>
      <c r="S107" s="307">
        <f t="shared" ca="1" si="50"/>
        <v>8.3064941210500436</v>
      </c>
      <c r="T107" s="304">
        <f t="shared" ca="1" si="30"/>
        <v>81.486707327500937</v>
      </c>
      <c r="U107" s="311">
        <f t="shared" ca="1" si="31"/>
        <v>0</v>
      </c>
      <c r="V107" s="306">
        <f t="shared" ca="1" si="32"/>
        <v>1.2163881757605894</v>
      </c>
      <c r="W107" s="304">
        <f t="shared" ca="1" si="33"/>
        <v>79.676115686702772</v>
      </c>
      <c r="Y107" s="314" t="str">
        <f t="shared" ca="1" si="51"/>
        <v/>
      </c>
      <c r="Z107" s="315" t="str">
        <f t="shared" ca="1" si="52"/>
        <v/>
      </c>
      <c r="AA107" s="316" t="str">
        <f t="shared" ca="1" si="53"/>
        <v/>
      </c>
      <c r="AC107" s="310" t="e">
        <f t="shared" ca="1" si="54"/>
        <v>#N/A</v>
      </c>
      <c r="AD107" s="323" t="e">
        <f t="shared" ca="1" si="55"/>
        <v>#N/A</v>
      </c>
      <c r="AE107" s="324">
        <f t="shared" ca="1" si="34"/>
        <v>70.54858645514517</v>
      </c>
      <c r="AG107" s="306">
        <f t="shared" ca="1" si="56"/>
        <v>130.46182582762614</v>
      </c>
      <c r="AH107" s="304">
        <f t="shared" ca="1" si="57"/>
        <v>140.09070367569223</v>
      </c>
    </row>
    <row r="108" spans="1:34" x14ac:dyDescent="0.2">
      <c r="A108" s="347">
        <f t="shared" ca="1" si="35"/>
        <v>0.01</v>
      </c>
      <c r="B108" s="304">
        <f t="shared" ca="1" si="36"/>
        <v>1.0400000000000007</v>
      </c>
      <c r="D108" s="306">
        <f t="shared" ca="1" si="37"/>
        <v>26.726232295213467</v>
      </c>
      <c r="E108" s="307">
        <f t="shared" ca="1" si="38"/>
        <v>127.24153366916221</v>
      </c>
      <c r="F108" s="304">
        <f t="shared" ca="1" si="39"/>
        <v>130.01807329436261</v>
      </c>
      <c r="G108" s="306">
        <f t="shared" ca="1" si="40"/>
        <v>27.220466021377593</v>
      </c>
      <c r="H108" s="307">
        <f t="shared" ca="1" si="41"/>
        <v>139.48785338884528</v>
      </c>
      <c r="I108" s="304">
        <f t="shared" ca="1" si="42"/>
        <v>142.11901707178026</v>
      </c>
      <c r="J108" s="306">
        <f t="shared" ca="1" si="43"/>
        <v>13.58206208687192</v>
      </c>
      <c r="K108" s="307">
        <f t="shared" ca="1" si="44"/>
        <v>71.93710291235017</v>
      </c>
      <c r="L108" s="304">
        <f t="shared" ca="1" si="29"/>
        <v>73.208054105772433</v>
      </c>
      <c r="M108" s="306">
        <f t="shared" ca="1" si="45"/>
        <v>1.3780726129120782</v>
      </c>
      <c r="N108" s="304">
        <f t="shared" ca="1" si="46"/>
        <v>78.957744582427679</v>
      </c>
      <c r="P108" s="310">
        <f t="shared" ca="1" si="47"/>
        <v>10</v>
      </c>
      <c r="Q108" s="304">
        <f t="shared" ca="1" si="48"/>
        <v>1238.6879999999996</v>
      </c>
      <c r="R108" s="306">
        <f t="shared" ca="1" si="49"/>
        <v>0.60873060827590064</v>
      </c>
      <c r="S108" s="307">
        <f t="shared" ca="1" si="50"/>
        <v>8.3004068149672854</v>
      </c>
      <c r="T108" s="304">
        <f t="shared" ca="1" si="30"/>
        <v>81.426990854829072</v>
      </c>
      <c r="U108" s="311">
        <f t="shared" ca="1" si="31"/>
        <v>0</v>
      </c>
      <c r="V108" s="306">
        <f t="shared" ca="1" si="32"/>
        <v>1.2162192878429414</v>
      </c>
      <c r="W108" s="304">
        <f t="shared" ca="1" si="33"/>
        <v>81.142784982381556</v>
      </c>
      <c r="Y108" s="314" t="str">
        <f t="shared" ca="1" si="51"/>
        <v/>
      </c>
      <c r="Z108" s="315" t="str">
        <f t="shared" ca="1" si="52"/>
        <v/>
      </c>
      <c r="AA108" s="316" t="str">
        <f t="shared" ca="1" si="53"/>
        <v/>
      </c>
      <c r="AC108" s="310" t="e">
        <f t="shared" ca="1" si="54"/>
        <v>#N/A</v>
      </c>
      <c r="AD108" s="323" t="e">
        <f t="shared" ca="1" si="55"/>
        <v>#N/A</v>
      </c>
      <c r="AE108" s="324">
        <f t="shared" ca="1" si="34"/>
        <v>71.93710291235017</v>
      </c>
      <c r="AG108" s="306">
        <f t="shared" ca="1" si="56"/>
        <v>130.00451436510838</v>
      </c>
      <c r="AH108" s="304">
        <f t="shared" ca="1" si="57"/>
        <v>139.63314210375421</v>
      </c>
    </row>
    <row r="109" spans="1:34" x14ac:dyDescent="0.2">
      <c r="A109" s="347">
        <f t="shared" ca="1" si="35"/>
        <v>0.01</v>
      </c>
      <c r="B109" s="304">
        <f t="shared" ca="1" si="36"/>
        <v>1.0500000000000007</v>
      </c>
      <c r="D109" s="306">
        <f t="shared" ca="1" si="37"/>
        <v>26.656338549255647</v>
      </c>
      <c r="E109" s="307">
        <f t="shared" ca="1" si="38"/>
        <v>126.78705313354598</v>
      </c>
      <c r="F109" s="304">
        <f t="shared" ca="1" si="39"/>
        <v>129.55893341310411</v>
      </c>
      <c r="G109" s="306">
        <f t="shared" ca="1" si="40"/>
        <v>27.48702940687015</v>
      </c>
      <c r="H109" s="307">
        <f t="shared" ca="1" si="41"/>
        <v>140.75572392018074</v>
      </c>
      <c r="I109" s="304">
        <f t="shared" ca="1" si="42"/>
        <v>143.41447138245249</v>
      </c>
      <c r="J109" s="306">
        <f t="shared" ca="1" si="43"/>
        <v>13.85559956401316</v>
      </c>
      <c r="K109" s="307">
        <f t="shared" ca="1" si="44"/>
        <v>73.338320798895296</v>
      </c>
      <c r="L109" s="304">
        <f t="shared" ca="1" si="29"/>
        <v>74.635694790629231</v>
      </c>
      <c r="M109" s="306">
        <f t="shared" ca="1" si="45"/>
        <v>1.3779415984032046</v>
      </c>
      <c r="N109" s="304">
        <f t="shared" ca="1" si="46"/>
        <v>78.950238004014238</v>
      </c>
      <c r="P109" s="310">
        <f t="shared" ca="1" si="47"/>
        <v>10</v>
      </c>
      <c r="Q109" s="304">
        <f t="shared" ca="1" si="48"/>
        <v>1235.4959999999996</v>
      </c>
      <c r="R109" s="306">
        <f t="shared" ca="1" si="49"/>
        <v>0.6071619581383223</v>
      </c>
      <c r="S109" s="307">
        <f t="shared" ca="1" si="50"/>
        <v>8.2943351953859015</v>
      </c>
      <c r="T109" s="304">
        <f t="shared" ca="1" si="30"/>
        <v>81.367428266735701</v>
      </c>
      <c r="U109" s="311">
        <f t="shared" ca="1" si="31"/>
        <v>0</v>
      </c>
      <c r="V109" s="306">
        <f t="shared" ca="1" si="32"/>
        <v>1.2160488787123604</v>
      </c>
      <c r="W109" s="304">
        <f t="shared" ca="1" si="33"/>
        <v>82.617227600996458</v>
      </c>
      <c r="Y109" s="314" t="str">
        <f t="shared" ca="1" si="51"/>
        <v/>
      </c>
      <c r="Z109" s="315" t="str">
        <f t="shared" ca="1" si="52"/>
        <v/>
      </c>
      <c r="AA109" s="316" t="str">
        <f t="shared" ca="1" si="53"/>
        <v/>
      </c>
      <c r="AC109" s="310" t="e">
        <f t="shared" ca="1" si="54"/>
        <v>#N/A</v>
      </c>
      <c r="AD109" s="323" t="e">
        <f t="shared" ca="1" si="55"/>
        <v>#N/A</v>
      </c>
      <c r="AE109" s="324">
        <f t="shared" ca="1" si="34"/>
        <v>73.338320798895296</v>
      </c>
      <c r="AG109" s="306">
        <f t="shared" ca="1" si="56"/>
        <v>129.54530798317691</v>
      </c>
      <c r="AH109" s="304">
        <f t="shared" ca="1" si="57"/>
        <v>139.17368756205792</v>
      </c>
    </row>
    <row r="110" spans="1:34" x14ac:dyDescent="0.2">
      <c r="A110" s="347">
        <f t="shared" ca="1" si="35"/>
        <v>0.01</v>
      </c>
      <c r="B110" s="304">
        <f t="shared" ca="1" si="36"/>
        <v>1.0600000000000007</v>
      </c>
      <c r="D110" s="306">
        <f t="shared" ca="1" si="37"/>
        <v>26.585815692256009</v>
      </c>
      <c r="E110" s="307">
        <f t="shared" ca="1" si="38"/>
        <v>126.33078401781347</v>
      </c>
      <c r="F110" s="304">
        <f t="shared" ca="1" si="39"/>
        <v>129.09791859893807</v>
      </c>
      <c r="G110" s="306">
        <f t="shared" ca="1" si="40"/>
        <v>27.752887563792711</v>
      </c>
      <c r="H110" s="307">
        <f t="shared" ca="1" si="41"/>
        <v>142.01903176035887</v>
      </c>
      <c r="I110" s="304">
        <f t="shared" ca="1" si="42"/>
        <v>144.70531486534398</v>
      </c>
      <c r="J110" s="306">
        <f t="shared" ca="1" si="43"/>
        <v>14.131799148866474</v>
      </c>
      <c r="K110" s="307">
        <f t="shared" ca="1" si="44"/>
        <v>74.752194577297999</v>
      </c>
      <c r="L110" s="304">
        <f t="shared" ca="1" si="29"/>
        <v>76.076266609936397</v>
      </c>
      <c r="M110" s="306">
        <f t="shared" ca="1" si="45"/>
        <v>1.3778116654358972</v>
      </c>
      <c r="N110" s="304">
        <f t="shared" ca="1" si="46"/>
        <v>78.942793393367907</v>
      </c>
      <c r="P110" s="310">
        <f t="shared" ca="1" si="47"/>
        <v>10</v>
      </c>
      <c r="Q110" s="304">
        <f t="shared" ca="1" si="48"/>
        <v>1232.3039999999996</v>
      </c>
      <c r="R110" s="306">
        <f t="shared" ca="1" si="49"/>
        <v>0.60559330800074396</v>
      </c>
      <c r="S110" s="307">
        <f t="shared" ca="1" si="50"/>
        <v>8.2882792623058936</v>
      </c>
      <c r="T110" s="304">
        <f t="shared" ca="1" si="30"/>
        <v>81.308019563220824</v>
      </c>
      <c r="U110" s="311">
        <f t="shared" ca="1" si="31"/>
        <v>0</v>
      </c>
      <c r="V110" s="306">
        <f t="shared" ca="1" si="32"/>
        <v>1.2158769545477206</v>
      </c>
      <c r="W110" s="304">
        <f t="shared" ca="1" si="33"/>
        <v>84.09926975822556</v>
      </c>
      <c r="Y110" s="314" t="str">
        <f t="shared" ca="1" si="51"/>
        <v/>
      </c>
      <c r="Z110" s="315" t="str">
        <f t="shared" ca="1" si="52"/>
        <v/>
      </c>
      <c r="AA110" s="316" t="str">
        <f t="shared" ca="1" si="53"/>
        <v/>
      </c>
      <c r="AC110" s="310" t="e">
        <f t="shared" ca="1" si="54"/>
        <v>#N/A</v>
      </c>
      <c r="AD110" s="323" t="e">
        <f t="shared" ca="1" si="55"/>
        <v>#N/A</v>
      </c>
      <c r="AE110" s="324">
        <f t="shared" ca="1" si="34"/>
        <v>74.752194577297999</v>
      </c>
      <c r="AG110" s="306">
        <f t="shared" ca="1" si="56"/>
        <v>129.08422613922568</v>
      </c>
      <c r="AH110" s="304">
        <f t="shared" ca="1" si="57"/>
        <v>138.71235946737963</v>
      </c>
    </row>
    <row r="111" spans="1:34" x14ac:dyDescent="0.2">
      <c r="A111" s="347">
        <f t="shared" ca="1" si="35"/>
        <v>0.01</v>
      </c>
      <c r="B111" s="304">
        <f t="shared" ca="1" si="36"/>
        <v>1.0700000000000007</v>
      </c>
      <c r="D111" s="306">
        <f t="shared" ca="1" si="37"/>
        <v>26.514671402022749</v>
      </c>
      <c r="E111" s="307">
        <f t="shared" ca="1" si="38"/>
        <v>125.8727447703875</v>
      </c>
      <c r="F111" s="304">
        <f t="shared" ca="1" si="39"/>
        <v>128.63504839501698</v>
      </c>
      <c r="G111" s="306">
        <f t="shared" ca="1" si="40"/>
        <v>28.018034277812937</v>
      </c>
      <c r="H111" s="307">
        <f t="shared" ca="1" si="41"/>
        <v>143.27775920806275</v>
      </c>
      <c r="I111" s="304">
        <f t="shared" ca="1" si="42"/>
        <v>145.99152896136238</v>
      </c>
      <c r="J111" s="306">
        <f t="shared" ca="1" si="43"/>
        <v>14.410653758074503</v>
      </c>
      <c r="K111" s="307">
        <f t="shared" ca="1" si="44"/>
        <v>76.178678532140111</v>
      </c>
      <c r="L111" s="304">
        <f t="shared" ca="1" si="29"/>
        <v>77.529723362322471</v>
      </c>
      <c r="M111" s="306">
        <f t="shared" ca="1" si="45"/>
        <v>1.3776827915139702</v>
      </c>
      <c r="N111" s="304">
        <f t="shared" ca="1" si="46"/>
        <v>78.935409461552197</v>
      </c>
      <c r="P111" s="310">
        <f t="shared" ca="1" si="47"/>
        <v>10</v>
      </c>
      <c r="Q111" s="304">
        <f t="shared" ca="1" si="48"/>
        <v>1229.1119999999999</v>
      </c>
      <c r="R111" s="306">
        <f t="shared" ca="1" si="49"/>
        <v>0.60402465786316573</v>
      </c>
      <c r="S111" s="307">
        <f t="shared" ca="1" si="50"/>
        <v>8.2822390157272618</v>
      </c>
      <c r="T111" s="304">
        <f t="shared" ca="1" si="30"/>
        <v>81.248764744284443</v>
      </c>
      <c r="U111" s="311">
        <f t="shared" ca="1" si="31"/>
        <v>0</v>
      </c>
      <c r="V111" s="306">
        <f t="shared" ca="1" si="32"/>
        <v>1.2157035215519718</v>
      </c>
      <c r="W111" s="304">
        <f t="shared" ca="1" si="33"/>
        <v>85.588737696155562</v>
      </c>
      <c r="Y111" s="314" t="str">
        <f t="shared" ca="1" si="51"/>
        <v/>
      </c>
      <c r="Z111" s="315" t="str">
        <f t="shared" ca="1" si="52"/>
        <v/>
      </c>
      <c r="AA111" s="316" t="str">
        <f t="shared" ca="1" si="53"/>
        <v/>
      </c>
      <c r="AC111" s="310" t="e">
        <f t="shared" ca="1" si="54"/>
        <v>#N/A</v>
      </c>
      <c r="AD111" s="323" t="e">
        <f t="shared" ca="1" si="55"/>
        <v>#N/A</v>
      </c>
      <c r="AE111" s="324">
        <f t="shared" ca="1" si="34"/>
        <v>76.178678532140111</v>
      </c>
      <c r="AG111" s="306">
        <f t="shared" ca="1" si="56"/>
        <v>128.62128836691375</v>
      </c>
      <c r="AH111" s="304">
        <f t="shared" ca="1" si="57"/>
        <v>138.24917731394774</v>
      </c>
    </row>
    <row r="112" spans="1:34" x14ac:dyDescent="0.2">
      <c r="A112" s="347">
        <f t="shared" ca="1" si="35"/>
        <v>0.01</v>
      </c>
      <c r="B112" s="304">
        <f t="shared" ca="1" si="36"/>
        <v>1.0800000000000007</v>
      </c>
      <c r="D112" s="306">
        <f t="shared" ca="1" si="37"/>
        <v>26.442913257232682</v>
      </c>
      <c r="E112" s="307">
        <f t="shared" ca="1" si="38"/>
        <v>125.41295393255598</v>
      </c>
      <c r="F112" s="304">
        <f t="shared" ca="1" si="39"/>
        <v>128.1703424182792</v>
      </c>
      <c r="G112" s="306">
        <f t="shared" ca="1" si="40"/>
        <v>28.282463410385265</v>
      </c>
      <c r="H112" s="307">
        <f t="shared" ca="1" si="41"/>
        <v>144.53188874738831</v>
      </c>
      <c r="I112" s="304">
        <f t="shared" ca="1" si="42"/>
        <v>147.27309530748383</v>
      </c>
      <c r="J112" s="306">
        <f t="shared" ca="1" si="43"/>
        <v>14.692156246515493</v>
      </c>
      <c r="K112" s="307">
        <f t="shared" ca="1" si="44"/>
        <v>77.617726771917361</v>
      </c>
      <c r="L112" s="304">
        <f t="shared" ca="1" si="29"/>
        <v>78.996018661778407</v>
      </c>
      <c r="M112" s="306">
        <f t="shared" ca="1" si="45"/>
        <v>1.3775549547998232</v>
      </c>
      <c r="N112" s="304">
        <f t="shared" ca="1" si="46"/>
        <v>78.928084957364746</v>
      </c>
      <c r="P112" s="310">
        <f t="shared" ca="1" si="47"/>
        <v>10</v>
      </c>
      <c r="Q112" s="304">
        <f t="shared" ca="1" si="48"/>
        <v>1225.9199999999998</v>
      </c>
      <c r="R112" s="306">
        <f t="shared" ca="1" si="49"/>
        <v>0.60245600772558727</v>
      </c>
      <c r="S112" s="307">
        <f t="shared" ca="1" si="50"/>
        <v>8.2762144556500061</v>
      </c>
      <c r="T112" s="304">
        <f t="shared" ca="1" si="30"/>
        <v>81.189663809926557</v>
      </c>
      <c r="U112" s="311">
        <f t="shared" ca="1" si="31"/>
        <v>0</v>
      </c>
      <c r="V112" s="306">
        <f t="shared" ca="1" si="32"/>
        <v>1.215528585951827</v>
      </c>
      <c r="W112" s="304">
        <f t="shared" ca="1" si="33"/>
        <v>87.085457703779568</v>
      </c>
      <c r="Y112" s="314" t="str">
        <f t="shared" ca="1" si="51"/>
        <v/>
      </c>
      <c r="Z112" s="315" t="str">
        <f t="shared" ca="1" si="52"/>
        <v/>
      </c>
      <c r="AA112" s="316" t="str">
        <f t="shared" ca="1" si="53"/>
        <v/>
      </c>
      <c r="AC112" s="310" t="e">
        <f t="shared" ca="1" si="54"/>
        <v>#N/A</v>
      </c>
      <c r="AD112" s="323" t="e">
        <f t="shared" ca="1" si="55"/>
        <v>#N/A</v>
      </c>
      <c r="AE112" s="324">
        <f t="shared" ca="1" si="34"/>
        <v>77.617726771917361</v>
      </c>
      <c r="AG112" s="306">
        <f t="shared" ca="1" si="56"/>
        <v>128.1565142736375</v>
      </c>
      <c r="AH112" s="304">
        <f t="shared" ca="1" si="57"/>
        <v>137.78416067086843</v>
      </c>
    </row>
    <row r="113" spans="1:34" x14ac:dyDescent="0.2">
      <c r="A113" s="347">
        <f t="shared" ca="1" si="35"/>
        <v>0.01</v>
      </c>
      <c r="B113" s="304">
        <f t="shared" ca="1" si="36"/>
        <v>1.0900000000000007</v>
      </c>
      <c r="D113" s="306">
        <f t="shared" ca="1" si="37"/>
        <v>26.37054874160091</v>
      </c>
      <c r="E113" s="307">
        <f t="shared" ca="1" si="38"/>
        <v>124.95143013515252</v>
      </c>
      <c r="F113" s="304">
        <f t="shared" ca="1" si="39"/>
        <v>127.70382035692218</v>
      </c>
      <c r="G113" s="306">
        <f t="shared" ca="1" si="40"/>
        <v>28.546168897801273</v>
      </c>
      <c r="H113" s="307">
        <f t="shared" ca="1" si="41"/>
        <v>145.78140304873983</v>
      </c>
      <c r="I113" s="304">
        <f t="shared" ca="1" si="42"/>
        <v>148.5499957374652</v>
      </c>
      <c r="J113" s="306">
        <f t="shared" ca="1" si="43"/>
        <v>14.976299408056425</v>
      </c>
      <c r="K113" s="307">
        <f t="shared" ca="1" si="44"/>
        <v>79.069293230897998</v>
      </c>
      <c r="L113" s="304">
        <f t="shared" ca="1" si="29"/>
        <v>80.475105939622622</v>
      </c>
      <c r="M113" s="306">
        <f t="shared" ca="1" si="45"/>
        <v>1.3774281340886882</v>
      </c>
      <c r="N113" s="304">
        <f t="shared" ca="1" si="46"/>
        <v>78.920818665861873</v>
      </c>
      <c r="P113" s="310">
        <f t="shared" ca="1" si="47"/>
        <v>10</v>
      </c>
      <c r="Q113" s="304">
        <f t="shared" ca="1" si="48"/>
        <v>1222.7279999999998</v>
      </c>
      <c r="R113" s="306">
        <f t="shared" ca="1" si="49"/>
        <v>0.60088735758800893</v>
      </c>
      <c r="S113" s="307">
        <f t="shared" ca="1" si="50"/>
        <v>8.2702055820741265</v>
      </c>
      <c r="T113" s="304">
        <f t="shared" ca="1" si="30"/>
        <v>81.13071676014718</v>
      </c>
      <c r="U113" s="311">
        <f t="shared" ca="1" si="31"/>
        <v>0</v>
      </c>
      <c r="V113" s="306">
        <f t="shared" ca="1" si="32"/>
        <v>1.2153521539974461</v>
      </c>
      <c r="W113" s="304">
        <f t="shared" ca="1" si="33"/>
        <v>88.589256137396603</v>
      </c>
      <c r="Y113" s="314" t="str">
        <f t="shared" ca="1" si="51"/>
        <v/>
      </c>
      <c r="Z113" s="315" t="str">
        <f t="shared" ca="1" si="52"/>
        <v/>
      </c>
      <c r="AA113" s="316" t="str">
        <f t="shared" ca="1" si="53"/>
        <v/>
      </c>
      <c r="AC113" s="310" t="e">
        <f t="shared" ca="1" si="54"/>
        <v>#N/A</v>
      </c>
      <c r="AD113" s="323" t="e">
        <f t="shared" ca="1" si="55"/>
        <v>#N/A</v>
      </c>
      <c r="AE113" s="324">
        <f t="shared" ca="1" si="34"/>
        <v>79.069293230897998</v>
      </c>
      <c r="AG113" s="306">
        <f t="shared" ca="1" si="56"/>
        <v>127.68992353799892</v>
      </c>
      <c r="AH113" s="304">
        <f t="shared" ca="1" si="57"/>
        <v>137.31732917954946</v>
      </c>
    </row>
    <row r="114" spans="1:34" x14ac:dyDescent="0.2">
      <c r="A114" s="347">
        <f t="shared" ca="1" si="35"/>
        <v>0.01</v>
      </c>
      <c r="B114" s="304">
        <f t="shared" ca="1" si="36"/>
        <v>1.1000000000000008</v>
      </c>
      <c r="D114" s="306">
        <f t="shared" ca="1" si="37"/>
        <v>26.297585247820152</v>
      </c>
      <c r="E114" s="307">
        <f t="shared" ca="1" si="38"/>
        <v>124.48819209527443</v>
      </c>
      <c r="F114" s="304">
        <f t="shared" ca="1" si="39"/>
        <v>127.23550196787183</v>
      </c>
      <c r="G114" s="306">
        <f t="shared" ca="1" si="40"/>
        <v>28.809144750279476</v>
      </c>
      <c r="H114" s="307">
        <f t="shared" ca="1" si="41"/>
        <v>147.02628496969257</v>
      </c>
      <c r="I114" s="304">
        <f t="shared" ca="1" si="42"/>
        <v>149.82221228253107</v>
      </c>
      <c r="J114" s="306">
        <f t="shared" ca="1" si="43"/>
        <v>15.263075976296829</v>
      </c>
      <c r="K114" s="307">
        <f t="shared" ca="1" si="44"/>
        <v>80.533331670990165</v>
      </c>
      <c r="L114" s="304">
        <f t="shared" ca="1" si="29"/>
        <v>81.966938446473137</v>
      </c>
      <c r="M114" s="306">
        <f t="shared" ca="1" si="45"/>
        <v>1.3773023087841267</v>
      </c>
      <c r="N114" s="304">
        <f t="shared" ca="1" si="46"/>
        <v>78.913609406954549</v>
      </c>
      <c r="P114" s="310">
        <f t="shared" ca="1" si="47"/>
        <v>10</v>
      </c>
      <c r="Q114" s="304">
        <f t="shared" ca="1" si="48"/>
        <v>1219.5359999999998</v>
      </c>
      <c r="R114" s="306">
        <f t="shared" ca="1" si="49"/>
        <v>0.59931870745043059</v>
      </c>
      <c r="S114" s="307">
        <f t="shared" ca="1" si="50"/>
        <v>8.2642123949996229</v>
      </c>
      <c r="T114" s="304">
        <f t="shared" ca="1" si="30"/>
        <v>81.071923594946298</v>
      </c>
      <c r="U114" s="311">
        <f t="shared" ca="1" si="31"/>
        <v>0</v>
      </c>
      <c r="V114" s="306">
        <f t="shared" ca="1" si="32"/>
        <v>1.2151742319621195</v>
      </c>
      <c r="W114" s="304">
        <f t="shared" ca="1" si="33"/>
        <v>90.09995944090916</v>
      </c>
      <c r="Y114" s="314" t="str">
        <f t="shared" ca="1" si="51"/>
        <v/>
      </c>
      <c r="Z114" s="315" t="str">
        <f t="shared" ca="1" si="52"/>
        <v/>
      </c>
      <c r="AA114" s="316" t="str">
        <f t="shared" ca="1" si="53"/>
        <v/>
      </c>
      <c r="AC114" s="310" t="e">
        <f t="shared" ca="1" si="54"/>
        <v>#N/A</v>
      </c>
      <c r="AD114" s="323" t="e">
        <f t="shared" ca="1" si="55"/>
        <v>#N/A</v>
      </c>
      <c r="AE114" s="324">
        <f t="shared" ca="1" si="34"/>
        <v>80.533331670990165</v>
      </c>
      <c r="AG114" s="306">
        <f t="shared" ca="1" si="56"/>
        <v>127.22153590727012</v>
      </c>
      <c r="AH114" s="304">
        <f t="shared" ca="1" si="57"/>
        <v>136.8487025511225</v>
      </c>
    </row>
    <row r="115" spans="1:34" x14ac:dyDescent="0.2">
      <c r="A115" s="347">
        <f t="shared" ca="1" si="35"/>
        <v>0.01</v>
      </c>
      <c r="B115" s="304">
        <f t="shared" ca="1" si="36"/>
        <v>1.1100000000000008</v>
      </c>
      <c r="D115" s="306">
        <f t="shared" ca="1" si="37"/>
        <v>26.239489707755745</v>
      </c>
      <c r="E115" s="307">
        <f t="shared" ca="1" si="38"/>
        <v>124.10215618069972</v>
      </c>
      <c r="F115" s="304">
        <f t="shared" ca="1" si="39"/>
        <v>126.845796102284</v>
      </c>
      <c r="G115" s="306">
        <f t="shared" ca="1" si="40"/>
        <v>29.071539647357032</v>
      </c>
      <c r="H115" s="307">
        <f t="shared" ca="1" si="41"/>
        <v>148.26730653149957</v>
      </c>
      <c r="I115" s="304">
        <f t="shared" ca="1" si="42"/>
        <v>151.09053115127205</v>
      </c>
      <c r="J115" s="306">
        <f t="shared" ca="1" si="43"/>
        <v>15.552479398285012</v>
      </c>
      <c r="K115" s="307">
        <f t="shared" ca="1" si="44"/>
        <v>82.009799628496125</v>
      </c>
      <c r="L115" s="304">
        <f t="shared" ca="1" si="29"/>
        <v>83.471473274048321</v>
      </c>
      <c r="M115" s="306">
        <f t="shared" ca="1" si="45"/>
        <v>1.3771774595390514</v>
      </c>
      <c r="N115" s="304">
        <f t="shared" ca="1" si="46"/>
        <v>78.906456072136336</v>
      </c>
      <c r="P115" s="310">
        <f t="shared" ca="1" si="47"/>
        <v>11</v>
      </c>
      <c r="Q115" s="304">
        <f t="shared" ca="1" si="48"/>
        <v>1217.0074999999999</v>
      </c>
      <c r="R115" s="306">
        <f t="shared" ca="1" si="49"/>
        <v>0.59807612227722673</v>
      </c>
      <c r="S115" s="307">
        <f t="shared" ca="1" si="50"/>
        <v>8.25823163377685</v>
      </c>
      <c r="T115" s="304">
        <f t="shared" ca="1" si="30"/>
        <v>81.013252327350898</v>
      </c>
      <c r="U115" s="311">
        <f t="shared" ca="1" si="31"/>
        <v>0</v>
      </c>
      <c r="V115" s="306">
        <f t="shared" ca="1" si="32"/>
        <v>1.2149948256626419</v>
      </c>
      <c r="W115" s="304">
        <f t="shared" ca="1" si="33"/>
        <v>91.618369162125418</v>
      </c>
      <c r="Y115" s="314" t="str">
        <f t="shared" ca="1" si="51"/>
        <v/>
      </c>
      <c r="Z115" s="315" t="str">
        <f t="shared" ca="1" si="52"/>
        <v/>
      </c>
      <c r="AA115" s="316" t="str">
        <f t="shared" ca="1" si="53"/>
        <v/>
      </c>
      <c r="AC115" s="310" t="e">
        <f t="shared" ca="1" si="54"/>
        <v>#N/A</v>
      </c>
      <c r="AD115" s="323" t="e">
        <f t="shared" ca="1" si="55"/>
        <v>#N/A</v>
      </c>
      <c r="AE115" s="324">
        <f t="shared" ca="1" si="34"/>
        <v>82.009799628496125</v>
      </c>
      <c r="AG115" s="306">
        <f t="shared" ca="1" si="56"/>
        <v>126.83176911916868</v>
      </c>
      <c r="AH115" s="304">
        <f t="shared" ca="1" si="57"/>
        <v>136.45869848817824</v>
      </c>
    </row>
    <row r="116" spans="1:34" x14ac:dyDescent="0.2">
      <c r="A116" s="347">
        <f t="shared" ca="1" si="35"/>
        <v>0.01</v>
      </c>
      <c r="B116" s="304">
        <f t="shared" ca="1" si="36"/>
        <v>1.1200000000000008</v>
      </c>
      <c r="D116" s="306">
        <f t="shared" ca="1" si="37"/>
        <v>26.196319879065001</v>
      </c>
      <c r="E116" s="307">
        <f t="shared" ca="1" si="38"/>
        <v>123.79344297621873</v>
      </c>
      <c r="F116" s="304">
        <f t="shared" ca="1" si="39"/>
        <v>126.5348319598703</v>
      </c>
      <c r="G116" s="306">
        <f t="shared" ca="1" si="40"/>
        <v>29.333502846147681</v>
      </c>
      <c r="H116" s="307">
        <f t="shared" ca="1" si="41"/>
        <v>149.50524096126176</v>
      </c>
      <c r="I116" s="304">
        <f t="shared" ca="1" si="42"/>
        <v>152.35573984628834</v>
      </c>
      <c r="J116" s="306">
        <f t="shared" ca="1" si="43"/>
        <v>15.844504610752535</v>
      </c>
      <c r="K116" s="307">
        <f t="shared" ca="1" si="44"/>
        <v>83.49866236595993</v>
      </c>
      <c r="L116" s="304">
        <f t="shared" ca="1" si="29"/>
        <v>84.988675382457473</v>
      </c>
      <c r="M116" s="306">
        <f t="shared" ca="1" si="45"/>
        <v>1.3770535681925737</v>
      </c>
      <c r="N116" s="304">
        <f t="shared" ca="1" si="46"/>
        <v>78.899357620864976</v>
      </c>
      <c r="P116" s="310">
        <f t="shared" ca="1" si="47"/>
        <v>11</v>
      </c>
      <c r="Q116" s="304">
        <f t="shared" ca="1" si="48"/>
        <v>1215.1424999999999</v>
      </c>
      <c r="R116" s="306">
        <f t="shared" ca="1" si="49"/>
        <v>0.59715960206839724</v>
      </c>
      <c r="S116" s="307">
        <f t="shared" ca="1" si="50"/>
        <v>8.2522600377561659</v>
      </c>
      <c r="T116" s="304">
        <f t="shared" ca="1" si="30"/>
        <v>80.954670970387994</v>
      </c>
      <c r="U116" s="311">
        <f t="shared" ca="1" si="31"/>
        <v>0</v>
      </c>
      <c r="V116" s="306">
        <f t="shared" ca="1" si="32"/>
        <v>1.2148139399794944</v>
      </c>
      <c r="W116" s="304">
        <f t="shared" ca="1" si="33"/>
        <v>93.145320282487376</v>
      </c>
      <c r="Y116" s="314" t="str">
        <f t="shared" ca="1" si="51"/>
        <v/>
      </c>
      <c r="Z116" s="315" t="str">
        <f t="shared" ca="1" si="52"/>
        <v/>
      </c>
      <c r="AA116" s="316" t="str">
        <f t="shared" ca="1" si="53"/>
        <v/>
      </c>
      <c r="AC116" s="310" t="e">
        <f t="shared" ca="1" si="54"/>
        <v>#N/A</v>
      </c>
      <c r="AD116" s="323" t="e">
        <f t="shared" ca="1" si="55"/>
        <v>#N/A</v>
      </c>
      <c r="AE116" s="324">
        <f t="shared" ca="1" si="34"/>
        <v>83.49866236595993</v>
      </c>
      <c r="AG116" s="306">
        <f t="shared" ca="1" si="56"/>
        <v>126.52075257571745</v>
      </c>
      <c r="AH116" s="304">
        <f t="shared" ca="1" si="57"/>
        <v>136.14744635984189</v>
      </c>
    </row>
    <row r="117" spans="1:34" x14ac:dyDescent="0.2">
      <c r="A117" s="347">
        <f t="shared" ca="1" si="35"/>
        <v>0.01</v>
      </c>
      <c r="B117" s="304">
        <f t="shared" ca="1" si="36"/>
        <v>1.1300000000000008</v>
      </c>
      <c r="D117" s="306">
        <f t="shared" ca="1" si="37"/>
        <v>26.152630410228387</v>
      </c>
      <c r="E117" s="307">
        <f t="shared" ca="1" si="38"/>
        <v>123.48316078476822</v>
      </c>
      <c r="F117" s="304">
        <f t="shared" ca="1" si="39"/>
        <v>126.2222289249042</v>
      </c>
      <c r="G117" s="306">
        <f t="shared" ca="1" si="40"/>
        <v>29.595029150249964</v>
      </c>
      <c r="H117" s="307">
        <f t="shared" ca="1" si="41"/>
        <v>150.74007256910946</v>
      </c>
      <c r="I117" s="304">
        <f t="shared" ca="1" si="42"/>
        <v>153.61782197565662</v>
      </c>
      <c r="J117" s="306">
        <f t="shared" ca="1" si="43"/>
        <v>16.139147270734522</v>
      </c>
      <c r="K117" s="307">
        <f t="shared" ca="1" si="44"/>
        <v>84.999888933611786</v>
      </c>
      <c r="L117" s="304">
        <f t="shared" ca="1" si="29"/>
        <v>86.518513587282555</v>
      </c>
      <c r="M117" s="306">
        <f t="shared" ca="1" si="45"/>
        <v>1.3769306170661666</v>
      </c>
      <c r="N117" s="304">
        <f t="shared" ca="1" si="46"/>
        <v>78.892313040235464</v>
      </c>
      <c r="P117" s="310">
        <f t="shared" ca="1" si="47"/>
        <v>11</v>
      </c>
      <c r="Q117" s="304">
        <f t="shared" ca="1" si="48"/>
        <v>1213.2774999999999</v>
      </c>
      <c r="R117" s="306">
        <f t="shared" ca="1" si="49"/>
        <v>0.59624308185956776</v>
      </c>
      <c r="S117" s="307">
        <f t="shared" ca="1" si="50"/>
        <v>8.2462976069375706</v>
      </c>
      <c r="T117" s="304">
        <f t="shared" ca="1" si="30"/>
        <v>80.896179524057573</v>
      </c>
      <c r="U117" s="311">
        <f t="shared" ca="1" si="31"/>
        <v>0</v>
      </c>
      <c r="V117" s="306">
        <f t="shared" ca="1" si="32"/>
        <v>1.214631579335876</v>
      </c>
      <c r="W117" s="304">
        <f t="shared" ca="1" si="33"/>
        <v>94.680688516771482</v>
      </c>
      <c r="Y117" s="314" t="str">
        <f t="shared" ca="1" si="51"/>
        <v/>
      </c>
      <c r="Z117" s="315" t="str">
        <f t="shared" ca="1" si="52"/>
        <v/>
      </c>
      <c r="AA117" s="316" t="str">
        <f t="shared" ca="1" si="53"/>
        <v/>
      </c>
      <c r="AC117" s="310" t="e">
        <f t="shared" ca="1" si="54"/>
        <v>#N/A</v>
      </c>
      <c r="AD117" s="323" t="e">
        <f t="shared" ca="1" si="55"/>
        <v>#N/A</v>
      </c>
      <c r="AE117" s="324">
        <f t="shared" ca="1" si="34"/>
        <v>84.999888933611786</v>
      </c>
      <c r="AG117" s="306">
        <f t="shared" ca="1" si="56"/>
        <v>126.20809682495285</v>
      </c>
      <c r="AH117" s="304">
        <f t="shared" ca="1" si="57"/>
        <v>135.83455668337155</v>
      </c>
    </row>
    <row r="118" spans="1:34" x14ac:dyDescent="0.2">
      <c r="A118" s="347">
        <f t="shared" ca="1" si="35"/>
        <v>0.01</v>
      </c>
      <c r="B118" s="304">
        <f t="shared" ca="1" si="36"/>
        <v>1.1400000000000008</v>
      </c>
      <c r="D118" s="306">
        <f t="shared" ca="1" si="37"/>
        <v>26.108426371108678</v>
      </c>
      <c r="E118" s="307">
        <f t="shared" ca="1" si="38"/>
        <v>123.17132148698812</v>
      </c>
      <c r="F118" s="304">
        <f t="shared" ca="1" si="39"/>
        <v>125.90799960457868</v>
      </c>
      <c r="G118" s="306">
        <f t="shared" ca="1" si="40"/>
        <v>29.856113413961051</v>
      </c>
      <c r="H118" s="307">
        <f t="shared" ca="1" si="41"/>
        <v>151.97178578397933</v>
      </c>
      <c r="I118" s="304">
        <f t="shared" ca="1" si="42"/>
        <v>154.87676127346867</v>
      </c>
      <c r="J118" s="306">
        <f t="shared" ca="1" si="43"/>
        <v>16.436402983555578</v>
      </c>
      <c r="K118" s="307">
        <f t="shared" ca="1" si="44"/>
        <v>86.513448225377232</v>
      </c>
      <c r="L118" s="304">
        <f t="shared" ca="1" si="29"/>
        <v>88.060956540812469</v>
      </c>
      <c r="M118" s="306">
        <f t="shared" ca="1" si="45"/>
        <v>1.3768085889465824</v>
      </c>
      <c r="N118" s="304">
        <f t="shared" ca="1" si="46"/>
        <v>78.885321344001383</v>
      </c>
      <c r="P118" s="310">
        <f t="shared" ca="1" si="47"/>
        <v>11</v>
      </c>
      <c r="Q118" s="304">
        <f t="shared" ca="1" si="48"/>
        <v>1211.4124999999999</v>
      </c>
      <c r="R118" s="306">
        <f t="shared" ca="1" si="49"/>
        <v>0.59532656165073827</v>
      </c>
      <c r="S118" s="307">
        <f t="shared" ca="1" si="50"/>
        <v>8.2403443413210624</v>
      </c>
      <c r="T118" s="304">
        <f t="shared" ca="1" si="30"/>
        <v>80.837777988359633</v>
      </c>
      <c r="U118" s="311">
        <f t="shared" ca="1" si="31"/>
        <v>0</v>
      </c>
      <c r="V118" s="306">
        <f t="shared" ca="1" si="32"/>
        <v>1.2144477481769789</v>
      </c>
      <c r="W118" s="304">
        <f t="shared" ca="1" si="33"/>
        <v>96.224349334361804</v>
      </c>
      <c r="Y118" s="314" t="str">
        <f t="shared" ca="1" si="51"/>
        <v/>
      </c>
      <c r="Z118" s="315" t="str">
        <f t="shared" ca="1" si="52"/>
        <v/>
      </c>
      <c r="AA118" s="316" t="str">
        <f t="shared" ca="1" si="53"/>
        <v/>
      </c>
      <c r="AC118" s="310" t="e">
        <f t="shared" ca="1" si="54"/>
        <v>#N/A</v>
      </c>
      <c r="AD118" s="323" t="e">
        <f t="shared" ca="1" si="55"/>
        <v>#N/A</v>
      </c>
      <c r="AE118" s="324">
        <f t="shared" ca="1" si="34"/>
        <v>86.513448225377232</v>
      </c>
      <c r="AG118" s="306">
        <f t="shared" ca="1" si="56"/>
        <v>125.89381446878276</v>
      </c>
      <c r="AH118" s="304">
        <f t="shared" ca="1" si="57"/>
        <v>135.52004203069481</v>
      </c>
    </row>
    <row r="119" spans="1:34" x14ac:dyDescent="0.2">
      <c r="A119" s="347">
        <f t="shared" ca="1" si="35"/>
        <v>0.01</v>
      </c>
      <c r="B119" s="304">
        <f t="shared" ca="1" si="36"/>
        <v>1.1500000000000008</v>
      </c>
      <c r="D119" s="306">
        <f t="shared" ca="1" si="37"/>
        <v>26.063712777670627</v>
      </c>
      <c r="E119" s="307">
        <f t="shared" ca="1" si="38"/>
        <v>122.85793705074627</v>
      </c>
      <c r="F119" s="304">
        <f t="shared" ca="1" si="39"/>
        <v>125.59215668234241</v>
      </c>
      <c r="G119" s="306">
        <f t="shared" ca="1" si="40"/>
        <v>30.116750541737758</v>
      </c>
      <c r="H119" s="307">
        <f t="shared" ca="1" si="41"/>
        <v>153.2003651544868</v>
      </c>
      <c r="I119" s="304">
        <f t="shared" ca="1" si="42"/>
        <v>156.13254160059446</v>
      </c>
      <c r="J119" s="306">
        <f t="shared" ca="1" si="43"/>
        <v>16.736267303334071</v>
      </c>
      <c r="K119" s="307">
        <f t="shared" ca="1" si="44"/>
        <v>88.039308980069563</v>
      </c>
      <c r="L119" s="304">
        <f t="shared" ca="1" si="29"/>
        <v>89.615972733306904</v>
      </c>
      <c r="M119" s="306">
        <f t="shared" ca="1" si="45"/>
        <v>1.3766874670695242</v>
      </c>
      <c r="N119" s="304">
        <f t="shared" ca="1" si="46"/>
        <v>78.878381571639238</v>
      </c>
      <c r="P119" s="310">
        <f t="shared" ca="1" si="47"/>
        <v>11</v>
      </c>
      <c r="Q119" s="304">
        <f t="shared" ca="1" si="48"/>
        <v>1209.5474999999999</v>
      </c>
      <c r="R119" s="306">
        <f t="shared" ca="1" si="49"/>
        <v>0.59441004144190879</v>
      </c>
      <c r="S119" s="307">
        <f t="shared" ca="1" si="50"/>
        <v>8.234400240906643</v>
      </c>
      <c r="T119" s="304">
        <f t="shared" ca="1" si="30"/>
        <v>80.779466363294176</v>
      </c>
      <c r="U119" s="311">
        <f t="shared" ca="1" si="31"/>
        <v>0</v>
      </c>
      <c r="V119" s="306">
        <f t="shared" ca="1" si="32"/>
        <v>1.2142624509697795</v>
      </c>
      <c r="W119" s="304">
        <f t="shared" ca="1" si="33"/>
        <v>97.776177972726984</v>
      </c>
      <c r="Y119" s="314" t="str">
        <f t="shared" ca="1" si="51"/>
        <v/>
      </c>
      <c r="Z119" s="315" t="str">
        <f t="shared" ca="1" si="52"/>
        <v/>
      </c>
      <c r="AA119" s="316" t="str">
        <f t="shared" ca="1" si="53"/>
        <v/>
      </c>
      <c r="AC119" s="310" t="e">
        <f t="shared" ca="1" si="54"/>
        <v>#N/A</v>
      </c>
      <c r="AD119" s="323" t="e">
        <f t="shared" ca="1" si="55"/>
        <v>#N/A</v>
      </c>
      <c r="AE119" s="324">
        <f t="shared" ca="1" si="34"/>
        <v>88.039308980069563</v>
      </c>
      <c r="AG119" s="306">
        <f t="shared" ca="1" si="56"/>
        <v>125.57791818538252</v>
      </c>
      <c r="AH119" s="304">
        <f t="shared" ca="1" si="57"/>
        <v>135.20391505077686</v>
      </c>
    </row>
    <row r="120" spans="1:34" x14ac:dyDescent="0.2">
      <c r="A120" s="347">
        <f t="shared" ca="1" si="35"/>
        <v>0.01</v>
      </c>
      <c r="B120" s="304">
        <f t="shared" ca="1" si="36"/>
        <v>1.1600000000000008</v>
      </c>
      <c r="D120" s="306">
        <f t="shared" ca="1" si="37"/>
        <v>26.018494594241197</v>
      </c>
      <c r="E120" s="307">
        <f t="shared" ca="1" si="38"/>
        <v>122.54301952923757</v>
      </c>
      <c r="F120" s="304">
        <f t="shared" ca="1" si="39"/>
        <v>125.27471291642883</v>
      </c>
      <c r="G120" s="306">
        <f t="shared" ca="1" si="40"/>
        <v>30.376935487680171</v>
      </c>
      <c r="H120" s="307">
        <f t="shared" ca="1" si="41"/>
        <v>154.42579534977918</v>
      </c>
      <c r="I120" s="304">
        <f t="shared" ca="1" si="42"/>
        <v>157.38514694542991</v>
      </c>
      <c r="J120" s="306">
        <f t="shared" ca="1" si="43"/>
        <v>17.038735733481161</v>
      </c>
      <c r="K120" s="307">
        <f t="shared" ca="1" si="44"/>
        <v>89.577439782590886</v>
      </c>
      <c r="L120" s="304">
        <f t="shared" ca="1" si="29"/>
        <v>91.183530494268012</v>
      </c>
      <c r="M120" s="306">
        <f t="shared" ca="1" si="45"/>
        <v>1.3765672351040275</v>
      </c>
      <c r="N120" s="304">
        <f t="shared" ca="1" si="46"/>
        <v>78.871492787453718</v>
      </c>
      <c r="P120" s="310">
        <f t="shared" ca="1" si="47"/>
        <v>11</v>
      </c>
      <c r="Q120" s="304">
        <f t="shared" ca="1" si="48"/>
        <v>1207.6824999999999</v>
      </c>
      <c r="R120" s="306">
        <f t="shared" ca="1" si="49"/>
        <v>0.5934935212330793</v>
      </c>
      <c r="S120" s="307">
        <f t="shared" ca="1" si="50"/>
        <v>8.2284653056943124</v>
      </c>
      <c r="T120" s="304">
        <f t="shared" ca="1" si="30"/>
        <v>80.721244648861216</v>
      </c>
      <c r="U120" s="311">
        <f t="shared" ca="1" si="31"/>
        <v>0</v>
      </c>
      <c r="V120" s="306">
        <f t="shared" ca="1" si="32"/>
        <v>1.214075692202826</v>
      </c>
      <c r="W120" s="304">
        <f t="shared" ca="1" si="33"/>
        <v>99.336049450884005</v>
      </c>
      <c r="Y120" s="314" t="str">
        <f t="shared" ca="1" si="51"/>
        <v/>
      </c>
      <c r="Z120" s="315" t="str">
        <f t="shared" ca="1" si="52"/>
        <v/>
      </c>
      <c r="AA120" s="316" t="str">
        <f t="shared" ca="1" si="53"/>
        <v/>
      </c>
      <c r="AC120" s="310" t="e">
        <f t="shared" ca="1" si="54"/>
        <v>#N/A</v>
      </c>
      <c r="AD120" s="323" t="e">
        <f t="shared" ca="1" si="55"/>
        <v>#N/A</v>
      </c>
      <c r="AE120" s="324">
        <f t="shared" ca="1" si="34"/>
        <v>89.577439782590886</v>
      </c>
      <c r="AG120" s="306">
        <f t="shared" ca="1" si="56"/>
        <v>125.26042072772134</v>
      </c>
      <c r="AH120" s="304">
        <f t="shared" ca="1" si="57"/>
        <v>134.88618846812039</v>
      </c>
    </row>
    <row r="121" spans="1:34" x14ac:dyDescent="0.2">
      <c r="A121" s="347">
        <f t="shared" ca="1" si="35"/>
        <v>0.01</v>
      </c>
      <c r="B121" s="304">
        <f t="shared" ca="1" si="36"/>
        <v>1.1700000000000008</v>
      </c>
      <c r="D121" s="306">
        <f t="shared" ca="1" si="37"/>
        <v>25.972776735656456</v>
      </c>
      <c r="E121" s="307">
        <f t="shared" ca="1" si="38"/>
        <v>122.22658105909528</v>
      </c>
      <c r="F121" s="304">
        <f t="shared" ca="1" si="39"/>
        <v>124.9556811383774</v>
      </c>
      <c r="G121" s="306">
        <f t="shared" ca="1" si="40"/>
        <v>30.636663255036737</v>
      </c>
      <c r="H121" s="307">
        <f t="shared" ca="1" si="41"/>
        <v>155.64806116037013</v>
      </c>
      <c r="I121" s="304">
        <f t="shared" ca="1" si="42"/>
        <v>158.63456142463042</v>
      </c>
      <c r="J121" s="306">
        <f t="shared" ca="1" si="43"/>
        <v>17.343803727194747</v>
      </c>
      <c r="K121" s="307">
        <f t="shared" ca="1" si="44"/>
        <v>91.127809065141633</v>
      </c>
      <c r="L121" s="304">
        <f t="shared" ca="1" si="29"/>
        <v>92.763597993719301</v>
      </c>
      <c r="M121" s="306">
        <f t="shared" ca="1" si="45"/>
        <v>1.3764478771375193</v>
      </c>
      <c r="N121" s="304">
        <f t="shared" ca="1" si="46"/>
        <v>78.864654079721532</v>
      </c>
      <c r="P121" s="310">
        <f t="shared" ca="1" si="47"/>
        <v>11</v>
      </c>
      <c r="Q121" s="304">
        <f t="shared" ca="1" si="48"/>
        <v>1205.8174999999999</v>
      </c>
      <c r="R121" s="306">
        <f t="shared" ca="1" si="49"/>
        <v>0.59257700102424982</v>
      </c>
      <c r="S121" s="307">
        <f t="shared" ca="1" si="50"/>
        <v>8.2225395356840707</v>
      </c>
      <c r="T121" s="304">
        <f t="shared" ca="1" si="30"/>
        <v>80.663112845060738</v>
      </c>
      <c r="U121" s="311">
        <f t="shared" ca="1" si="31"/>
        <v>0</v>
      </c>
      <c r="V121" s="306">
        <f t="shared" ca="1" si="32"/>
        <v>1.2138874763860263</v>
      </c>
      <c r="W121" s="304">
        <f t="shared" ca="1" si="33"/>
        <v>100.90383858284737</v>
      </c>
      <c r="Y121" s="314" t="str">
        <f t="shared" ca="1" si="51"/>
        <v/>
      </c>
      <c r="Z121" s="315" t="str">
        <f t="shared" ca="1" si="52"/>
        <v/>
      </c>
      <c r="AA121" s="316" t="str">
        <f t="shared" ca="1" si="53"/>
        <v/>
      </c>
      <c r="AC121" s="310" t="e">
        <f t="shared" ca="1" si="54"/>
        <v>#N/A</v>
      </c>
      <c r="AD121" s="323" t="e">
        <f t="shared" ca="1" si="55"/>
        <v>#N/A</v>
      </c>
      <c r="AE121" s="324">
        <f t="shared" ca="1" si="34"/>
        <v>91.127809065141633</v>
      </c>
      <c r="AG121" s="306">
        <f t="shared" ca="1" si="56"/>
        <v>124.94133492208171</v>
      </c>
      <c r="AH121" s="304">
        <f t="shared" ca="1" si="57"/>
        <v>134.5668750812595</v>
      </c>
    </row>
    <row r="122" spans="1:34" x14ac:dyDescent="0.2">
      <c r="A122" s="347">
        <f t="shared" ca="1" si="35"/>
        <v>0.01</v>
      </c>
      <c r="B122" s="304">
        <f t="shared" ca="1" si="36"/>
        <v>1.1800000000000008</v>
      </c>
      <c r="D122" s="306">
        <f t="shared" ca="1" si="37"/>
        <v>25.92656406930082</v>
      </c>
      <c r="E122" s="307">
        <f t="shared" ca="1" si="38"/>
        <v>121.90863385851452</v>
      </c>
      <c r="F122" s="304">
        <f t="shared" ca="1" si="39"/>
        <v>124.63507425154812</v>
      </c>
      <c r="G122" s="306">
        <f t="shared" ca="1" si="40"/>
        <v>30.895928895729746</v>
      </c>
      <c r="H122" s="307">
        <f t="shared" ca="1" si="41"/>
        <v>156.86714749895529</v>
      </c>
      <c r="I122" s="304">
        <f t="shared" ca="1" si="42"/>
        <v>159.88076928382907</v>
      </c>
      <c r="J122" s="306">
        <f t="shared" ca="1" si="43"/>
        <v>17.651466687948577</v>
      </c>
      <c r="K122" s="307">
        <f t="shared" ca="1" si="44"/>
        <v>92.690385108438264</v>
      </c>
      <c r="L122" s="304">
        <f t="shared" ca="1" si="29"/>
        <v>94.356143243491843</v>
      </c>
      <c r="M122" s="306">
        <f t="shared" ca="1" si="45"/>
        <v>1.3763293776615166</v>
      </c>
      <c r="N122" s="304">
        <f t="shared" ca="1" si="46"/>
        <v>78.85786455987207</v>
      </c>
      <c r="P122" s="310">
        <f t="shared" ca="1" si="47"/>
        <v>11</v>
      </c>
      <c r="Q122" s="304">
        <f t="shared" ca="1" si="48"/>
        <v>1203.9524999999999</v>
      </c>
      <c r="R122" s="306">
        <f t="shared" ca="1" si="49"/>
        <v>0.59166048081542044</v>
      </c>
      <c r="S122" s="307">
        <f t="shared" ca="1" si="50"/>
        <v>8.216622930875916</v>
      </c>
      <c r="T122" s="304">
        <f t="shared" ca="1" si="30"/>
        <v>80.605070951892742</v>
      </c>
      <c r="U122" s="311">
        <f t="shared" ca="1" si="31"/>
        <v>0</v>
      </c>
      <c r="V122" s="306">
        <f t="shared" ca="1" si="32"/>
        <v>1.213697808050435</v>
      </c>
      <c r="W122" s="304">
        <f t="shared" ca="1" si="33"/>
        <v>102.47941999106015</v>
      </c>
      <c r="Y122" s="314" t="str">
        <f t="shared" ca="1" si="51"/>
        <v/>
      </c>
      <c r="Z122" s="315" t="str">
        <f t="shared" ca="1" si="52"/>
        <v/>
      </c>
      <c r="AA122" s="316" t="str">
        <f t="shared" ca="1" si="53"/>
        <v/>
      </c>
      <c r="AC122" s="310" t="e">
        <f t="shared" ca="1" si="54"/>
        <v>#N/A</v>
      </c>
      <c r="AD122" s="323" t="e">
        <f t="shared" ca="1" si="55"/>
        <v>#N/A</v>
      </c>
      <c r="AE122" s="324">
        <f t="shared" ca="1" si="34"/>
        <v>92.690385108438264</v>
      </c>
      <c r="AG122" s="306">
        <f t="shared" ca="1" si="56"/>
        <v>124.62067366657139</v>
      </c>
      <c r="AH122" s="304">
        <f t="shared" ca="1" si="57"/>
        <v>134.24598776124733</v>
      </c>
    </row>
    <row r="123" spans="1:34" x14ac:dyDescent="0.2">
      <c r="A123" s="347">
        <f t="shared" ca="1" si="35"/>
        <v>0.01</v>
      </c>
      <c r="B123" s="304">
        <f t="shared" ca="1" si="36"/>
        <v>1.1900000000000008</v>
      </c>
      <c r="D123" s="306">
        <f t="shared" ca="1" si="37"/>
        <v>25.879861417044296</v>
      </c>
      <c r="E123" s="307">
        <f t="shared" ca="1" si="38"/>
        <v>121.5891902253866</v>
      </c>
      <c r="F123" s="304">
        <f t="shared" ca="1" si="39"/>
        <v>124.31290522962878</v>
      </c>
      <c r="G123" s="306">
        <f t="shared" ca="1" si="40"/>
        <v>31.154727509900187</v>
      </c>
      <c r="H123" s="307">
        <f t="shared" ca="1" si="41"/>
        <v>158.08303940120916</v>
      </c>
      <c r="I123" s="304">
        <f t="shared" ca="1" si="42"/>
        <v>161.12375489834011</v>
      </c>
      <c r="J123" s="306">
        <f t="shared" ca="1" si="43"/>
        <v>17.961719969976727</v>
      </c>
      <c r="K123" s="307">
        <f t="shared" ca="1" si="44"/>
        <v>94.265136042939091</v>
      </c>
      <c r="L123" s="304">
        <f t="shared" ca="1" si="29"/>
        <v>95.96113409851759</v>
      </c>
      <c r="M123" s="306">
        <f t="shared" ca="1" si="45"/>
        <v>1.3762117215579326</v>
      </c>
      <c r="N123" s="304">
        <f t="shared" ca="1" si="46"/>
        <v>78.851123361702747</v>
      </c>
      <c r="P123" s="310">
        <f t="shared" ca="1" si="47"/>
        <v>11</v>
      </c>
      <c r="Q123" s="304">
        <f t="shared" ca="1" si="48"/>
        <v>1202.0874999999999</v>
      </c>
      <c r="R123" s="306">
        <f t="shared" ca="1" si="49"/>
        <v>0.59074396060659096</v>
      </c>
      <c r="S123" s="307">
        <f t="shared" ca="1" si="50"/>
        <v>8.2107154912698501</v>
      </c>
      <c r="T123" s="304">
        <f t="shared" ca="1" si="30"/>
        <v>80.547118969357228</v>
      </c>
      <c r="U123" s="311">
        <f t="shared" ca="1" si="31"/>
        <v>0</v>
      </c>
      <c r="V123" s="306">
        <f t="shared" ca="1" si="32"/>
        <v>1.2135066917480377</v>
      </c>
      <c r="W123" s="304">
        <f t="shared" ca="1" si="33"/>
        <v>104.06266811980537</v>
      </c>
      <c r="Y123" s="314" t="str">
        <f t="shared" ca="1" si="51"/>
        <v/>
      </c>
      <c r="Z123" s="315" t="str">
        <f t="shared" ca="1" si="52"/>
        <v/>
      </c>
      <c r="AA123" s="316" t="str">
        <f t="shared" ca="1" si="53"/>
        <v/>
      </c>
      <c r="AC123" s="310" t="e">
        <f t="shared" ca="1" si="54"/>
        <v>#N/A</v>
      </c>
      <c r="AD123" s="323" t="e">
        <f t="shared" ca="1" si="55"/>
        <v>#N/A</v>
      </c>
      <c r="AE123" s="324">
        <f t="shared" ca="1" si="34"/>
        <v>94.265136042939091</v>
      </c>
      <c r="AG123" s="306">
        <f t="shared" ca="1" si="56"/>
        <v>124.298449929629</v>
      </c>
      <c r="AH123" s="304">
        <f t="shared" ca="1" si="57"/>
        <v>133.92353945013832</v>
      </c>
    </row>
    <row r="124" spans="1:34" x14ac:dyDescent="0.2">
      <c r="A124" s="347">
        <f t="shared" ca="1" si="35"/>
        <v>0.01</v>
      </c>
      <c r="B124" s="304">
        <f t="shared" ca="1" si="36"/>
        <v>1.2000000000000008</v>
      </c>
      <c r="D124" s="306">
        <f t="shared" ca="1" si="37"/>
        <v>25.832673557083073</v>
      </c>
      <c r="E124" s="307">
        <f t="shared" ca="1" si="38"/>
        <v>121.26826253544468</v>
      </c>
      <c r="F124" s="304">
        <f t="shared" ca="1" si="39"/>
        <v>123.98918711513659</v>
      </c>
      <c r="G124" s="306">
        <f t="shared" ca="1" si="40"/>
        <v>31.413054245471017</v>
      </c>
      <c r="H124" s="307">
        <f t="shared" ca="1" si="41"/>
        <v>159.29572202656362</v>
      </c>
      <c r="I124" s="304">
        <f t="shared" ca="1" si="42"/>
        <v>162.36350277384736</v>
      </c>
      <c r="J124" s="306">
        <f t="shared" ca="1" si="43"/>
        <v>18.274558878753584</v>
      </c>
      <c r="K124" s="307">
        <f t="shared" ca="1" si="44"/>
        <v>95.852029850077955</v>
      </c>
      <c r="L124" s="304">
        <f t="shared" ca="1" si="29"/>
        <v>97.578538258129626</v>
      </c>
      <c r="M124" s="306">
        <f t="shared" ca="1" si="45"/>
        <v>1.3760948940859603</v>
      </c>
      <c r="N124" s="304">
        <f t="shared" ca="1" si="46"/>
        <v>78.844429640627553</v>
      </c>
      <c r="P124" s="310">
        <f t="shared" ca="1" si="47"/>
        <v>11</v>
      </c>
      <c r="Q124" s="304">
        <f t="shared" ca="1" si="48"/>
        <v>1200.2224999999999</v>
      </c>
      <c r="R124" s="306">
        <f t="shared" ca="1" si="49"/>
        <v>0.58982744039776147</v>
      </c>
      <c r="S124" s="307">
        <f t="shared" ca="1" si="50"/>
        <v>8.2048172168658731</v>
      </c>
      <c r="T124" s="304">
        <f t="shared" ca="1" si="30"/>
        <v>80.489256897454226</v>
      </c>
      <c r="U124" s="311">
        <f t="shared" ca="1" si="31"/>
        <v>0</v>
      </c>
      <c r="V124" s="306">
        <f t="shared" ca="1" si="32"/>
        <v>1.2133141320515366</v>
      </c>
      <c r="W124" s="304">
        <f t="shared" ca="1" si="33"/>
        <v>105.65345724859412</v>
      </c>
      <c r="Y124" s="314" t="str">
        <f t="shared" ca="1" si="51"/>
        <v/>
      </c>
      <c r="Z124" s="315" t="str">
        <f t="shared" ca="1" si="52"/>
        <v/>
      </c>
      <c r="AA124" s="316" t="str">
        <f t="shared" ca="1" si="53"/>
        <v/>
      </c>
      <c r="AC124" s="310" t="e">
        <f t="shared" ca="1" si="54"/>
        <v>#N/A</v>
      </c>
      <c r="AD124" s="323" t="e">
        <f t="shared" ca="1" si="55"/>
        <v>#N/A</v>
      </c>
      <c r="AE124" s="324">
        <f t="shared" ca="1" si="34"/>
        <v>95.852029850077955</v>
      </c>
      <c r="AG124" s="306">
        <f t="shared" ca="1" si="56"/>
        <v>123.97467674852325</v>
      </c>
      <c r="AH124" s="304">
        <f t="shared" ca="1" si="57"/>
        <v>133.5995431594651</v>
      </c>
    </row>
    <row r="125" spans="1:34" x14ac:dyDescent="0.2">
      <c r="A125" s="347">
        <f t="shared" ca="1" si="35"/>
        <v>0.01</v>
      </c>
      <c r="B125" s="304">
        <f t="shared" ca="1" si="36"/>
        <v>1.2100000000000009</v>
      </c>
      <c r="D125" s="306">
        <f t="shared" ca="1" si="37"/>
        <v>25.75918455463021</v>
      </c>
      <c r="E125" s="307">
        <f t="shared" ca="1" si="38"/>
        <v>120.81492651560364</v>
      </c>
      <c r="F125" s="304">
        <f t="shared" ca="1" si="39"/>
        <v>123.53049039767554</v>
      </c>
      <c r="G125" s="306">
        <f t="shared" ca="1" si="40"/>
        <v>31.670646091017318</v>
      </c>
      <c r="H125" s="307">
        <f t="shared" ca="1" si="41"/>
        <v>160.50387129171966</v>
      </c>
      <c r="I125" s="304">
        <f t="shared" ca="1" si="42"/>
        <v>163.5986629635199</v>
      </c>
      <c r="J125" s="306">
        <f t="shared" ca="1" si="43"/>
        <v>18.589977380436025</v>
      </c>
      <c r="K125" s="307">
        <f t="shared" ca="1" si="44"/>
        <v>97.451027816669367</v>
      </c>
      <c r="L125" s="304">
        <f t="shared" ca="1" si="29"/>
        <v>99.208316594579856</v>
      </c>
      <c r="M125" s="306">
        <f t="shared" ca="1" si="45"/>
        <v>1.3759788799231067</v>
      </c>
      <c r="N125" s="304">
        <f t="shared" ca="1" si="46"/>
        <v>78.837782518732297</v>
      </c>
      <c r="P125" s="310">
        <f t="shared" ca="1" si="47"/>
        <v>12</v>
      </c>
      <c r="Q125" s="304">
        <f t="shared" ca="1" si="48"/>
        <v>1197.2639999999997</v>
      </c>
      <c r="R125" s="306">
        <f t="shared" ca="1" si="49"/>
        <v>0.58837353957319194</v>
      </c>
      <c r="S125" s="307">
        <f t="shared" ca="1" si="50"/>
        <v>8.1989334814701404</v>
      </c>
      <c r="T125" s="304">
        <f t="shared" ca="1" si="30"/>
        <v>80.431537453222077</v>
      </c>
      <c r="U125" s="311">
        <f t="shared" ca="1" si="31"/>
        <v>0</v>
      </c>
      <c r="V125" s="306">
        <f t="shared" ca="1" si="32"/>
        <v>1.2131201343483617</v>
      </c>
      <c r="W125" s="304">
        <f t="shared" ca="1" si="33"/>
        <v>107.24991175028958</v>
      </c>
      <c r="Y125" s="314" t="str">
        <f t="shared" ca="1" si="51"/>
        <v/>
      </c>
      <c r="Z125" s="315" t="str">
        <f t="shared" ca="1" si="52"/>
        <v/>
      </c>
      <c r="AA125" s="316" t="str">
        <f t="shared" ca="1" si="53"/>
        <v/>
      </c>
      <c r="AC125" s="310" t="e">
        <f t="shared" ca="1" si="54"/>
        <v>#N/A</v>
      </c>
      <c r="AD125" s="323" t="e">
        <f t="shared" ca="1" si="55"/>
        <v>#N/A</v>
      </c>
      <c r="AE125" s="324">
        <f t="shared" ca="1" si="34"/>
        <v>97.451027816669367</v>
      </c>
      <c r="AG125" s="306">
        <f t="shared" ca="1" si="56"/>
        <v>123.51590887119787</v>
      </c>
      <c r="AH125" s="304">
        <f t="shared" ca="1" si="57"/>
        <v>133.14055361206201</v>
      </c>
    </row>
    <row r="126" spans="1:34" x14ac:dyDescent="0.2">
      <c r="A126" s="347">
        <f t="shared" ca="1" si="35"/>
        <v>0.01</v>
      </c>
      <c r="B126" s="304">
        <f t="shared" ca="1" si="36"/>
        <v>1.2200000000000009</v>
      </c>
      <c r="D126" s="306">
        <f t="shared" ca="1" si="37"/>
        <v>25.659322772948038</v>
      </c>
      <c r="E126" s="307">
        <f t="shared" ca="1" si="38"/>
        <v>120.22904713361822</v>
      </c>
      <c r="F126" s="304">
        <f t="shared" ca="1" si="39"/>
        <v>122.93666914238455</v>
      </c>
      <c r="G126" s="306">
        <f t="shared" ca="1" si="40"/>
        <v>31.9272393187468</v>
      </c>
      <c r="H126" s="307">
        <f t="shared" ca="1" si="41"/>
        <v>161.70616176305583</v>
      </c>
      <c r="I126" s="304">
        <f t="shared" ca="1" si="42"/>
        <v>164.82788405684309</v>
      </c>
      <c r="J126" s="306">
        <f t="shared" ca="1" si="43"/>
        <v>18.907966807484847</v>
      </c>
      <c r="K126" s="307">
        <f t="shared" ca="1" si="44"/>
        <v>99.062077981943247</v>
      </c>
      <c r="L126" s="304">
        <f t="shared" ca="1" si="29"/>
        <v>100.85041647357512</v>
      </c>
      <c r="M126" s="306">
        <f t="shared" ca="1" si="45"/>
        <v>1.3758636632056256</v>
      </c>
      <c r="N126" s="304">
        <f t="shared" ca="1" si="46"/>
        <v>78.831181087091281</v>
      </c>
      <c r="P126" s="310">
        <f t="shared" ca="1" si="47"/>
        <v>12</v>
      </c>
      <c r="Q126" s="304">
        <f t="shared" ca="1" si="48"/>
        <v>1193.2119999999995</v>
      </c>
      <c r="R126" s="306">
        <f t="shared" ca="1" si="49"/>
        <v>0.58638225813288247</v>
      </c>
      <c r="S126" s="307">
        <f t="shared" ca="1" si="50"/>
        <v>8.1930696588888114</v>
      </c>
      <c r="T126" s="304">
        <f t="shared" ca="1" si="30"/>
        <v>80.37401335369924</v>
      </c>
      <c r="U126" s="311">
        <f t="shared" ca="1" si="31"/>
        <v>0</v>
      </c>
      <c r="V126" s="306">
        <f t="shared" ca="1" si="32"/>
        <v>1.2129247056348149</v>
      </c>
      <c r="W126" s="304">
        <f t="shared" ca="1" si="33"/>
        <v>108.85010235968947</v>
      </c>
      <c r="Y126" s="314" t="str">
        <f t="shared" ca="1" si="51"/>
        <v/>
      </c>
      <c r="Z126" s="315" t="str">
        <f t="shared" ca="1" si="52"/>
        <v/>
      </c>
      <c r="AA126" s="316" t="str">
        <f t="shared" ca="1" si="53"/>
        <v/>
      </c>
      <c r="AC126" s="310" t="e">
        <f t="shared" ca="1" si="54"/>
        <v>#N/A</v>
      </c>
      <c r="AD126" s="323" t="e">
        <f t="shared" ca="1" si="55"/>
        <v>#N/A</v>
      </c>
      <c r="AE126" s="324">
        <f t="shared" ca="1" si="34"/>
        <v>99.062077981943247</v>
      </c>
      <c r="AG126" s="306">
        <f t="shared" ca="1" si="56"/>
        <v>122.92199992870225</v>
      </c>
      <c r="AH126" s="304">
        <f t="shared" ca="1" si="57"/>
        <v>132.54642441267782</v>
      </c>
    </row>
    <row r="127" spans="1:34" x14ac:dyDescent="0.2">
      <c r="A127" s="347">
        <f t="shared" ca="1" si="35"/>
        <v>0.01</v>
      </c>
      <c r="B127" s="304">
        <f t="shared" ca="1" si="36"/>
        <v>1.2300000000000009</v>
      </c>
      <c r="D127" s="306">
        <f t="shared" ca="1" si="37"/>
        <v>25.55890676158117</v>
      </c>
      <c r="E127" s="307">
        <f t="shared" ca="1" si="38"/>
        <v>119.64161559422098</v>
      </c>
      <c r="F127" s="304">
        <f t="shared" ca="1" si="39"/>
        <v>122.34121912439217</v>
      </c>
      <c r="G127" s="306">
        <f t="shared" ca="1" si="40"/>
        <v>32.182828386362608</v>
      </c>
      <c r="H127" s="307">
        <f t="shared" ca="1" si="41"/>
        <v>162.90257791899805</v>
      </c>
      <c r="I127" s="304">
        <f t="shared" ca="1" si="42"/>
        <v>166.05114975693874</v>
      </c>
      <c r="J127" s="306">
        <f t="shared" ca="1" si="43"/>
        <v>19.228517146010393</v>
      </c>
      <c r="K127" s="307">
        <f t="shared" ca="1" si="44"/>
        <v>100.68512168035352</v>
      </c>
      <c r="L127" s="304">
        <f t="shared" ca="1" si="29"/>
        <v>102.50477842238385</v>
      </c>
      <c r="M127" s="306">
        <f t="shared" ca="1" si="45"/>
        <v>1.3757492284871815</v>
      </c>
      <c r="N127" s="304">
        <f t="shared" ca="1" si="46"/>
        <v>78.824624460694665</v>
      </c>
      <c r="P127" s="310">
        <f t="shared" ca="1" si="47"/>
        <v>12</v>
      </c>
      <c r="Q127" s="304">
        <f t="shared" ca="1" si="48"/>
        <v>1189.1599999999996</v>
      </c>
      <c r="R127" s="306">
        <f t="shared" ca="1" si="49"/>
        <v>0.58439097669257312</v>
      </c>
      <c r="S127" s="307">
        <f t="shared" ca="1" si="50"/>
        <v>8.1872257491218861</v>
      </c>
      <c r="T127" s="304">
        <f t="shared" ca="1" si="30"/>
        <v>80.316684598885701</v>
      </c>
      <c r="U127" s="311">
        <f t="shared" ca="1" si="31"/>
        <v>0</v>
      </c>
      <c r="V127" s="306">
        <f t="shared" ca="1" si="32"/>
        <v>1.2127278537212243</v>
      </c>
      <c r="W127" s="304">
        <f t="shared" ca="1" si="33"/>
        <v>110.45382479690427</v>
      </c>
      <c r="Y127" s="314" t="str">
        <f t="shared" ca="1" si="51"/>
        <v/>
      </c>
      <c r="Z127" s="315" t="str">
        <f t="shared" ca="1" si="52"/>
        <v/>
      </c>
      <c r="AA127" s="316" t="str">
        <f t="shared" ca="1" si="53"/>
        <v/>
      </c>
      <c r="AC127" s="310" t="e">
        <f t="shared" ca="1" si="54"/>
        <v>#N/A</v>
      </c>
      <c r="AD127" s="323" t="e">
        <f t="shared" ca="1" si="55"/>
        <v>#N/A</v>
      </c>
      <c r="AE127" s="324">
        <f t="shared" ca="1" si="34"/>
        <v>100.68512168035352</v>
      </c>
      <c r="AG127" s="306">
        <f t="shared" ca="1" si="56"/>
        <v>122.32646128504302</v>
      </c>
      <c r="AH127" s="304">
        <f t="shared" ca="1" si="57"/>
        <v>131.95066689790224</v>
      </c>
    </row>
    <row r="128" spans="1:34" x14ac:dyDescent="0.2">
      <c r="A128" s="347">
        <f t="shared" ca="1" si="35"/>
        <v>0.01</v>
      </c>
      <c r="B128" s="304">
        <f t="shared" ca="1" si="36"/>
        <v>1.2400000000000009</v>
      </c>
      <c r="D128" s="306">
        <f t="shared" ca="1" si="37"/>
        <v>25.457944374645912</v>
      </c>
      <c r="E128" s="307">
        <f t="shared" ca="1" si="38"/>
        <v>119.05265673608807</v>
      </c>
      <c r="F128" s="304">
        <f t="shared" ca="1" si="39"/>
        <v>121.74416621630533</v>
      </c>
      <c r="G128" s="306">
        <f t="shared" ca="1" si="40"/>
        <v>32.437407830109066</v>
      </c>
      <c r="H128" s="307">
        <f t="shared" ca="1" si="41"/>
        <v>164.09310448635892</v>
      </c>
      <c r="I128" s="304">
        <f t="shared" ca="1" si="42"/>
        <v>167.26844402548835</v>
      </c>
      <c r="J128" s="306">
        <f t="shared" ca="1" si="43"/>
        <v>19.551618327092751</v>
      </c>
      <c r="K128" s="307">
        <f t="shared" ca="1" si="44"/>
        <v>102.3201000923803</v>
      </c>
      <c r="L128" s="304">
        <f t="shared" ca="1" si="29"/>
        <v>104.17134280656573</v>
      </c>
      <c r="M128" s="306">
        <f t="shared" ca="1" si="45"/>
        <v>1.3756355607240349</v>
      </c>
      <c r="N128" s="304">
        <f t="shared" ca="1" si="46"/>
        <v>78.818111777599668</v>
      </c>
      <c r="P128" s="310">
        <f t="shared" ca="1" si="47"/>
        <v>12</v>
      </c>
      <c r="Q128" s="304">
        <f t="shared" ca="1" si="48"/>
        <v>1185.1079999999995</v>
      </c>
      <c r="R128" s="306">
        <f t="shared" ca="1" si="49"/>
        <v>0.58239969525226365</v>
      </c>
      <c r="S128" s="307">
        <f t="shared" ca="1" si="50"/>
        <v>8.1814017521693643</v>
      </c>
      <c r="T128" s="304">
        <f t="shared" ca="1" si="30"/>
        <v>80.259551188781472</v>
      </c>
      <c r="U128" s="311">
        <f t="shared" ca="1" si="31"/>
        <v>0</v>
      </c>
      <c r="V128" s="306">
        <f t="shared" ca="1" si="32"/>
        <v>1.2125295864368821</v>
      </c>
      <c r="W128" s="304">
        <f t="shared" ca="1" si="33"/>
        <v>112.06087548203679</v>
      </c>
      <c r="Y128" s="314" t="str">
        <f t="shared" ca="1" si="51"/>
        <v/>
      </c>
      <c r="Z128" s="315" t="str">
        <f t="shared" ca="1" si="52"/>
        <v/>
      </c>
      <c r="AA128" s="316" t="str">
        <f t="shared" ca="1" si="53"/>
        <v/>
      </c>
      <c r="AC128" s="310" t="e">
        <f t="shared" ca="1" si="54"/>
        <v>#N/A</v>
      </c>
      <c r="AD128" s="323" t="e">
        <f t="shared" ca="1" si="55"/>
        <v>#N/A</v>
      </c>
      <c r="AE128" s="324">
        <f t="shared" ca="1" si="34"/>
        <v>102.3201000923803</v>
      </c>
      <c r="AG128" s="306">
        <f t="shared" ca="1" si="56"/>
        <v>121.7293187965322</v>
      </c>
      <c r="AH128" s="304">
        <f t="shared" ca="1" si="57"/>
        <v>131.35330689733482</v>
      </c>
    </row>
    <row r="129" spans="1:34" x14ac:dyDescent="0.2">
      <c r="A129" s="347">
        <f t="shared" ca="1" si="35"/>
        <v>0.01</v>
      </c>
      <c r="B129" s="304">
        <f t="shared" ca="1" si="36"/>
        <v>1.2500000000000009</v>
      </c>
      <c r="D129" s="306">
        <f t="shared" ca="1" si="37"/>
        <v>25.356443399390717</v>
      </c>
      <c r="E129" s="307">
        <f t="shared" ca="1" si="38"/>
        <v>118.46219542113073</v>
      </c>
      <c r="F129" s="304">
        <f t="shared" ca="1" si="39"/>
        <v>121.14553630184099</v>
      </c>
      <c r="G129" s="306">
        <f t="shared" ca="1" si="40"/>
        <v>32.690972264102975</v>
      </c>
      <c r="H129" s="307">
        <f t="shared" ca="1" si="41"/>
        <v>165.27772644057023</v>
      </c>
      <c r="I129" s="304">
        <f t="shared" ca="1" si="42"/>
        <v>168.47975108284177</v>
      </c>
      <c r="J129" s="306">
        <f t="shared" ca="1" si="43"/>
        <v>19.877260227563809</v>
      </c>
      <c r="K129" s="307">
        <f t="shared" ca="1" si="44"/>
        <v>103.96695424701494</v>
      </c>
      <c r="L129" s="304">
        <f t="shared" ca="1" si="29"/>
        <v>105.85004983255884</v>
      </c>
      <c r="M129" s="306">
        <f t="shared" ca="1" si="45"/>
        <v>1.3755226452608784</v>
      </c>
      <c r="N129" s="304">
        <f t="shared" ca="1" si="46"/>
        <v>78.811642198119046</v>
      </c>
      <c r="P129" s="310">
        <f t="shared" ca="1" si="47"/>
        <v>12</v>
      </c>
      <c r="Q129" s="304">
        <f t="shared" ca="1" si="48"/>
        <v>1181.0559999999996</v>
      </c>
      <c r="R129" s="306">
        <f t="shared" ca="1" si="49"/>
        <v>0.5804084138119544</v>
      </c>
      <c r="S129" s="307">
        <f t="shared" ca="1" si="50"/>
        <v>8.1755976680312443</v>
      </c>
      <c r="T129" s="304">
        <f t="shared" ca="1" si="30"/>
        <v>80.202613123386513</v>
      </c>
      <c r="U129" s="311">
        <f t="shared" ca="1" si="31"/>
        <v>0</v>
      </c>
      <c r="V129" s="306">
        <f t="shared" ca="1" si="32"/>
        <v>1.2123299116296362</v>
      </c>
      <c r="W129" s="304">
        <f t="shared" ca="1" si="33"/>
        <v>113.6710515578545</v>
      </c>
      <c r="Y129" s="314" t="str">
        <f t="shared" ca="1" si="51"/>
        <v/>
      </c>
      <c r="Z129" s="315" t="str">
        <f t="shared" ca="1" si="52"/>
        <v/>
      </c>
      <c r="AA129" s="316" t="str">
        <f t="shared" ca="1" si="53"/>
        <v/>
      </c>
      <c r="AC129" s="310" t="e">
        <f t="shared" ca="1" si="54"/>
        <v>#N/A</v>
      </c>
      <c r="AD129" s="323" t="e">
        <f t="shared" ca="1" si="55"/>
        <v>#N/A</v>
      </c>
      <c r="AE129" s="324">
        <f t="shared" ca="1" si="34"/>
        <v>103.96695424701494</v>
      </c>
      <c r="AG129" s="306">
        <f t="shared" ca="1" si="56"/>
        <v>121.13059833032685</v>
      </c>
      <c r="AH129" s="304">
        <f t="shared" ca="1" si="57"/>
        <v>130.75437025210002</v>
      </c>
    </row>
    <row r="130" spans="1:34" x14ac:dyDescent="0.2">
      <c r="A130" s="347">
        <f t="shared" ca="1" si="35"/>
        <v>0.01</v>
      </c>
      <c r="B130" s="304">
        <f t="shared" ca="1" si="36"/>
        <v>1.2600000000000009</v>
      </c>
      <c r="D130" s="306">
        <f t="shared" ca="1" si="37"/>
        <v>25.254411558118854</v>
      </c>
      <c r="E130" s="307">
        <f t="shared" ca="1" si="38"/>
        <v>117.87025653075123</v>
      </c>
      <c r="F130" s="304">
        <f t="shared" ca="1" si="39"/>
        <v>120.54535527249465</v>
      </c>
      <c r="G130" s="306">
        <f t="shared" ca="1" si="40"/>
        <v>32.943516379684162</v>
      </c>
      <c r="H130" s="307">
        <f t="shared" ca="1" si="41"/>
        <v>166.45642900587774</v>
      </c>
      <c r="I130" s="304">
        <f t="shared" ca="1" si="42"/>
        <v>169.68505540809224</v>
      </c>
      <c r="J130" s="306">
        <f t="shared" ca="1" si="43"/>
        <v>20.205432670782745</v>
      </c>
      <c r="K130" s="307">
        <f t="shared" ca="1" si="44"/>
        <v>105.62562502424719</v>
      </c>
      <c r="L130" s="304">
        <f t="shared" ca="1" si="29"/>
        <v>107.54083955026763</v>
      </c>
      <c r="M130" s="306">
        <f t="shared" ca="1" si="45"/>
        <v>1.37541046781729</v>
      </c>
      <c r="N130" s="304">
        <f t="shared" ca="1" si="46"/>
        <v>78.80521490404486</v>
      </c>
      <c r="P130" s="310">
        <f t="shared" ca="1" si="47"/>
        <v>12</v>
      </c>
      <c r="Q130" s="304">
        <f t="shared" ca="1" si="48"/>
        <v>1177.0039999999997</v>
      </c>
      <c r="R130" s="306">
        <f t="shared" ca="1" si="49"/>
        <v>0.57841713237164505</v>
      </c>
      <c r="S130" s="307">
        <f t="shared" ca="1" si="50"/>
        <v>8.169813496707528</v>
      </c>
      <c r="T130" s="304">
        <f t="shared" ca="1" si="30"/>
        <v>80.145870402700851</v>
      </c>
      <c r="U130" s="311">
        <f t="shared" ca="1" si="31"/>
        <v>0</v>
      </c>
      <c r="V130" s="306">
        <f t="shared" ca="1" si="32"/>
        <v>1.212128837165489</v>
      </c>
      <c r="W130" s="304">
        <f t="shared" ca="1" si="33"/>
        <v>115.28415091219975</v>
      </c>
      <c r="Y130" s="314" t="str">
        <f t="shared" ca="1" si="51"/>
        <v/>
      </c>
      <c r="Z130" s="315" t="str">
        <f t="shared" ca="1" si="52"/>
        <v/>
      </c>
      <c r="AA130" s="316" t="str">
        <f t="shared" ca="1" si="53"/>
        <v/>
      </c>
      <c r="AC130" s="310" t="e">
        <f t="shared" ca="1" si="54"/>
        <v>#N/A</v>
      </c>
      <c r="AD130" s="323" t="e">
        <f t="shared" ca="1" si="55"/>
        <v>#N/A</v>
      </c>
      <c r="AE130" s="324">
        <f t="shared" ca="1" si="34"/>
        <v>105.62562502424719</v>
      </c>
      <c r="AG130" s="306">
        <f t="shared" ca="1" si="56"/>
        <v>120.53032576108865</v>
      </c>
      <c r="AH130" s="304">
        <f t="shared" ca="1" si="57"/>
        <v>130.15388281148316</v>
      </c>
    </row>
    <row r="131" spans="1:34" x14ac:dyDescent="0.2">
      <c r="A131" s="347">
        <f t="shared" ca="1" si="35"/>
        <v>0.01</v>
      </c>
      <c r="B131" s="304">
        <f t="shared" ca="1" si="36"/>
        <v>1.2700000000000009</v>
      </c>
      <c r="D131" s="306">
        <f t="shared" ca="1" si="37"/>
        <v>25.151856509999931</v>
      </c>
      <c r="E131" s="307">
        <f t="shared" ca="1" si="38"/>
        <v>117.27686496213572</v>
      </c>
      <c r="F131" s="304">
        <f t="shared" ca="1" si="39"/>
        <v>119.94364902422571</v>
      </c>
      <c r="G131" s="306">
        <f t="shared" ca="1" si="40"/>
        <v>33.195034944784162</v>
      </c>
      <c r="H131" s="307">
        <f t="shared" ca="1" si="41"/>
        <v>167.6291976554991</v>
      </c>
      <c r="I131" s="304">
        <f t="shared" ca="1" si="42"/>
        <v>170.88434173911847</v>
      </c>
      <c r="J131" s="306">
        <f t="shared" ca="1" si="43"/>
        <v>20.536125427405086</v>
      </c>
      <c r="K131" s="307">
        <f t="shared" ca="1" si="44"/>
        <v>107.29605315755407</v>
      </c>
      <c r="L131" s="304">
        <f t="shared" ca="1" si="29"/>
        <v>109.24365185565146</v>
      </c>
      <c r="M131" s="306">
        <f t="shared" ca="1" si="45"/>
        <v>1.3752990144747719</v>
      </c>
      <c r="N131" s="304">
        <f t="shared" ca="1" si="46"/>
        <v>78.798829097905937</v>
      </c>
      <c r="P131" s="310">
        <f t="shared" ca="1" si="47"/>
        <v>12</v>
      </c>
      <c r="Q131" s="304">
        <f t="shared" ca="1" si="48"/>
        <v>1172.9519999999995</v>
      </c>
      <c r="R131" s="306">
        <f t="shared" ca="1" si="49"/>
        <v>0.57642585093133558</v>
      </c>
      <c r="S131" s="307">
        <f t="shared" ca="1" si="50"/>
        <v>8.1640492381982153</v>
      </c>
      <c r="T131" s="304">
        <f t="shared" ca="1" si="30"/>
        <v>80.0893230267245</v>
      </c>
      <c r="U131" s="311">
        <f t="shared" ca="1" si="31"/>
        <v>0</v>
      </c>
      <c r="V131" s="306">
        <f t="shared" ca="1" si="32"/>
        <v>1.2119263709281922</v>
      </c>
      <c r="W131" s="304">
        <f t="shared" ca="1" si="33"/>
        <v>116.89997220013454</v>
      </c>
      <c r="Y131" s="314" t="str">
        <f t="shared" ca="1" si="51"/>
        <v/>
      </c>
      <c r="Z131" s="315" t="str">
        <f t="shared" ca="1" si="52"/>
        <v/>
      </c>
      <c r="AA131" s="316" t="str">
        <f t="shared" ca="1" si="53"/>
        <v/>
      </c>
      <c r="AC131" s="310" t="e">
        <f t="shared" ca="1" si="54"/>
        <v>#N/A</v>
      </c>
      <c r="AD131" s="323" t="e">
        <f t="shared" ca="1" si="55"/>
        <v>#N/A</v>
      </c>
      <c r="AE131" s="324">
        <f t="shared" ca="1" si="34"/>
        <v>107.29605315755407</v>
      </c>
      <c r="AG131" s="306">
        <f t="shared" ca="1" si="56"/>
        <v>119.92852696766018</v>
      </c>
      <c r="AH131" s="304">
        <f t="shared" ca="1" si="57"/>
        <v>129.55187042958408</v>
      </c>
    </row>
    <row r="132" spans="1:34" x14ac:dyDescent="0.2">
      <c r="A132" s="347">
        <f t="shared" ca="1" si="35"/>
        <v>0.01</v>
      </c>
      <c r="B132" s="304">
        <f t="shared" ca="1" si="36"/>
        <v>1.2800000000000009</v>
      </c>
      <c r="D132" s="306">
        <f t="shared" ca="1" si="37"/>
        <v>25.048785852776113</v>
      </c>
      <c r="E132" s="307">
        <f t="shared" ca="1" si="38"/>
        <v>116.68204562458332</v>
      </c>
      <c r="F132" s="304">
        <f t="shared" ca="1" si="39"/>
        <v>119.34044345416008</v>
      </c>
      <c r="G132" s="306">
        <f t="shared" ca="1" si="40"/>
        <v>33.445522803311924</v>
      </c>
      <c r="H132" s="307">
        <f t="shared" ca="1" si="41"/>
        <v>168.79601811174493</v>
      </c>
      <c r="I132" s="304">
        <f t="shared" ca="1" si="42"/>
        <v>172.07759507259328</v>
      </c>
      <c r="J132" s="306">
        <f t="shared" ca="1" si="43"/>
        <v>20.869328216145565</v>
      </c>
      <c r="K132" s="307">
        <f t="shared" ca="1" si="44"/>
        <v>108.97817923639029</v>
      </c>
      <c r="L132" s="304">
        <f t="shared" ref="L132:L195" ca="1" si="58">SQRT(pos_x^2+pos_z^2)</f>
        <v>110.95842649331333</v>
      </c>
      <c r="M132" s="306">
        <f t="shared" ca="1" si="45"/>
        <v>1.375188271664344</v>
      </c>
      <c r="N132" s="304">
        <f t="shared" ca="1" si="46"/>
        <v>78.792484002257012</v>
      </c>
      <c r="P132" s="310">
        <f t="shared" ca="1" si="47"/>
        <v>12</v>
      </c>
      <c r="Q132" s="304">
        <f t="shared" ca="1" si="48"/>
        <v>1168.8999999999996</v>
      </c>
      <c r="R132" s="306">
        <f t="shared" ca="1" si="49"/>
        <v>0.57443456949102623</v>
      </c>
      <c r="S132" s="307">
        <f t="shared" ca="1" si="50"/>
        <v>8.1583048925033044</v>
      </c>
      <c r="T132" s="304">
        <f t="shared" ref="T132:T195" ca="1" si="59">m*g</f>
        <v>80.032970995457418</v>
      </c>
      <c r="U132" s="311">
        <f t="shared" ref="U132:U195" ca="1" si="60">IF(pos_xz&lt;L_rampe,Poids*COS(Beta),0)</f>
        <v>0</v>
      </c>
      <c r="V132" s="306">
        <f t="shared" ref="V132:V195" ca="1" si="61">Rho_moyen*(20000-Alt_rampe-pos_z)/(20000+Alt_rampe+pos_z)</f>
        <v>1.2117225208188429</v>
      </c>
      <c r="W132" s="304">
        <f t="shared" ref="W132:W195" ca="1" si="62">1/2*Rho*Sref*Cx*vit_xz^2</f>
        <v>118.51831486581567</v>
      </c>
      <c r="Y132" s="314" t="str">
        <f t="shared" ca="1" si="51"/>
        <v/>
      </c>
      <c r="Z132" s="315" t="str">
        <f t="shared" ca="1" si="52"/>
        <v/>
      </c>
      <c r="AA132" s="316" t="str">
        <f t="shared" ca="1" si="53"/>
        <v/>
      </c>
      <c r="AC132" s="310" t="e">
        <f t="shared" ca="1" si="54"/>
        <v>#N/A</v>
      </c>
      <c r="AD132" s="323" t="e">
        <f t="shared" ca="1" si="55"/>
        <v>#N/A</v>
      </c>
      <c r="AE132" s="324">
        <f t="shared" ref="AE132:AE195" ca="1" si="63">IF(t&lt;T_para, pos_z, NA())</f>
        <v>108.97817923639029</v>
      </c>
      <c r="AG132" s="306">
        <f t="shared" ca="1" si="56"/>
        <v>119.32522782975815</v>
      </c>
      <c r="AH132" s="304">
        <f t="shared" ca="1" si="57"/>
        <v>128.94835896198876</v>
      </c>
    </row>
    <row r="133" spans="1:34" x14ac:dyDescent="0.2">
      <c r="A133" s="347">
        <f t="shared" ref="A133:A196" ca="1" si="64">IF(B132+0.01&lt;=T_ini+ROUNDUP(Temps_fin_propu,0), 0.01, IF(K132&gt;0, 0.1, 0.0001))</f>
        <v>0.01</v>
      </c>
      <c r="B133" s="304">
        <f t="shared" ref="B133:B196" ca="1" si="65">B132+pas</f>
        <v>1.2900000000000009</v>
      </c>
      <c r="D133" s="306">
        <f t="shared" ref="D133:D196" ca="1" si="66">IF(AND(L132&lt;L_rampe,Poussee&lt;Poids*SIN(M132)),0,(-W132+Poussee)/m*COS(M132)-U132/m*SIN(M132))</f>
        <v>24.945207124368736</v>
      </c>
      <c r="E133" s="307">
        <f t="shared" ref="E133:E196" ca="1" si="67">IF(AND(L132&lt;L_rampe,Poussee&lt;Poids*SIN(M132)),0,(-W132+Poussee)/m*SIN(M132)+U132/m*COS(M132)-Poids/m)</f>
        <v>116.08582343587149</v>
      </c>
      <c r="F133" s="304">
        <f t="shared" ref="F133:F196" ca="1" si="68">SQRT(acc_x^2+acc_z^2)</f>
        <v>118.73576445731079</v>
      </c>
      <c r="G133" s="306">
        <f t="shared" ref="G133:G196" ca="1" si="69">G132+acc_x*pas</f>
        <v>33.694974874555612</v>
      </c>
      <c r="H133" s="307">
        <f t="shared" ref="H133:H196" ca="1" si="70">H132+acc_z*pas</f>
        <v>169.95687634610366</v>
      </c>
      <c r="I133" s="304">
        <f t="shared" ref="I133:I196" ca="1" si="71">SQRT(vit_x^2+vit_z^2)</f>
        <v>173.26480066395973</v>
      </c>
      <c r="J133" s="306">
        <f t="shared" ref="J133:J196" ca="1" si="72">J132+0.5*(vit_x+G132)*pas*(K132&gt;=0)</f>
        <v>21.205030704534902</v>
      </c>
      <c r="K133" s="307">
        <f t="shared" ref="K133:K196" ca="1" si="73">K132+0.5*(vit_z+H132)*pas</f>
        <v>110.67194370867954</v>
      </c>
      <c r="L133" s="304">
        <f t="shared" ca="1" si="58"/>
        <v>112.6851030590885</v>
      </c>
      <c r="M133" s="306">
        <f t="shared" ref="M133:M196" ca="1" si="74">IF(AND(L132&gt;L_rampe,G133&gt;0),ATAN2(G133,H133),$M$4)</f>
        <v>1.375078226154665</v>
      </c>
      <c r="N133" s="304">
        <f t="shared" ref="N133:N196" ca="1" si="75">DEGREES(Beta)</f>
        <v>78.786178858998042</v>
      </c>
      <c r="P133" s="310">
        <f t="shared" ref="P133:P196" ca="1" si="76">MATCH(t-pas/2-T_ini,CdP_t)</f>
        <v>12</v>
      </c>
      <c r="Q133" s="304">
        <f t="shared" ref="Q133:Q196" ca="1" si="77">(INDEX(CdP,2,i_P+1)-INDEX(CdP,2,i_P+0))/(INDEX(CdP,1,i_P+1)-INDEX(CdP,1,i_P+0))*(t-pas/2-T_ini-INDEX(CdP,1,i_P+0))+INDEX(CdP,2,i_P+0)</f>
        <v>1164.8479999999995</v>
      </c>
      <c r="R133" s="306">
        <f t="shared" ref="R133:R196" ca="1" si="78">Poussee/(g*ISP)</f>
        <v>0.57244328805071676</v>
      </c>
      <c r="S133" s="307">
        <f t="shared" ref="S133:S196" ca="1" si="79">S132-Débit*pas</f>
        <v>8.1525804596227971</v>
      </c>
      <c r="T133" s="304">
        <f t="shared" ca="1" si="59"/>
        <v>79.976814308899648</v>
      </c>
      <c r="U133" s="311">
        <f t="shared" ca="1" si="60"/>
        <v>0</v>
      </c>
      <c r="V133" s="306">
        <f t="shared" ca="1" si="61"/>
        <v>1.21151729475548</v>
      </c>
      <c r="W133" s="304">
        <f t="shared" ca="1" si="62"/>
        <v>120.13897916409805</v>
      </c>
      <c r="Y133" s="314" t="str">
        <f t="shared" ref="Y133:Y196" ca="1" si="80">IF(AND(pos_z&lt;=0,K132&gt;0),"Impact balistique","") &amp; IF(AND(H134&lt;0,vit_z&gt;=0),"Apogée","") &amp; IF(AND(Poussee=0,Q132&gt;0),"Fin de propulsion","") &amp; IF(AND(L134&gt;L_rampe,pos_xz&lt;=L_rampe),"Sortie de rampe","")</f>
        <v/>
      </c>
      <c r="Z133" s="315" t="str">
        <f t="shared" ref="Z133:Z196" ca="1" si="81">IF(ABS(t-T_para)&lt;pas/2,"Para","")</f>
        <v/>
      </c>
      <c r="AA133" s="316" t="str">
        <f t="shared" ref="AA133:AA196" ca="1" si="82">IF(ABS(t-T_satellite)&lt;pas/2,"Satellite","")</f>
        <v/>
      </c>
      <c r="AC133" s="310" t="e">
        <f t="shared" ref="AC133:AC196" ca="1" si="83">IF(ABS(t-ROUND(t,0))&lt;0.001,t,NA())</f>
        <v>#N/A</v>
      </c>
      <c r="AD133" s="323" t="e">
        <f t="shared" ref="AD133:AD196" ca="1" si="84">IF(ABS(t-ROUND(t,0))&lt;0.001,pos_x,NA())</f>
        <v>#N/A</v>
      </c>
      <c r="AE133" s="324">
        <f t="shared" ca="1" si="63"/>
        <v>110.67194370867954</v>
      </c>
      <c r="AG133" s="306">
        <f t="shared" ref="AG133:AG196" ca="1" si="85">IF(AND(L132&lt;L_rampe,Poussee&lt;Poids*SIN(M132)),0,(-W132+Poussee)/m-Poids*SIN(M132)/m)</f>
        <v>118.72045422468447</v>
      </c>
      <c r="AH133" s="304">
        <f t="shared" ref="AH133:AH196" ca="1" si="86">IF(AND(L132&lt;L_rampe,Poussee&lt;Poids*SIN(M132)), g*SIN(M132), (-W132+Poussee)/m)</f>
        <v>128.34337426245963</v>
      </c>
    </row>
    <row r="134" spans="1:34" x14ac:dyDescent="0.2">
      <c r="A134" s="347">
        <f t="shared" ca="1" si="64"/>
        <v>0.01</v>
      </c>
      <c r="B134" s="304">
        <f t="shared" ca="1" si="65"/>
        <v>1.3000000000000009</v>
      </c>
      <c r="D134" s="306">
        <f t="shared" ca="1" si="66"/>
        <v>24.841127804390847</v>
      </c>
      <c r="E134" s="307">
        <f t="shared" ca="1" si="67"/>
        <v>115.48822331865729</v>
      </c>
      <c r="F134" s="304">
        <f t="shared" ca="1" si="68"/>
        <v>118.12963792331769</v>
      </c>
      <c r="G134" s="306">
        <f t="shared" ca="1" si="69"/>
        <v>33.943386152599523</v>
      </c>
      <c r="H134" s="307">
        <f t="shared" ca="1" si="70"/>
        <v>171.11175857929024</v>
      </c>
      <c r="I134" s="304">
        <f t="shared" ca="1" si="71"/>
        <v>174.44594402737425</v>
      </c>
      <c r="J134" s="306">
        <f t="shared" ca="1" si="72"/>
        <v>21.543222509670677</v>
      </c>
      <c r="K134" s="307">
        <f t="shared" ca="1" si="73"/>
        <v>112.37728688330651</v>
      </c>
      <c r="L134" s="304">
        <f t="shared" ca="1" si="58"/>
        <v>114.42362100263283</v>
      </c>
      <c r="M134" s="306">
        <f t="shared" ca="1" si="74"/>
        <v>1.3749688650406513</v>
      </c>
      <c r="N134" s="304">
        <f t="shared" ca="1" si="75"/>
        <v>78.779912928722197</v>
      </c>
      <c r="P134" s="310">
        <f t="shared" ca="1" si="76"/>
        <v>12</v>
      </c>
      <c r="Q134" s="304">
        <f t="shared" ca="1" si="77"/>
        <v>1160.7959999999996</v>
      </c>
      <c r="R134" s="306">
        <f t="shared" ca="1" si="78"/>
        <v>0.5704520066104074</v>
      </c>
      <c r="S134" s="307">
        <f t="shared" ca="1" si="79"/>
        <v>8.1468759395566934</v>
      </c>
      <c r="T134" s="304">
        <f t="shared" ca="1" si="59"/>
        <v>79.920852967051161</v>
      </c>
      <c r="U134" s="311">
        <f t="shared" ca="1" si="60"/>
        <v>0</v>
      </c>
      <c r="V134" s="306">
        <f t="shared" ca="1" si="61"/>
        <v>1.2113107006726818</v>
      </c>
      <c r="W134" s="304">
        <f t="shared" ca="1" si="62"/>
        <v>121.76176618186207</v>
      </c>
      <c r="Y134" s="314" t="str">
        <f t="shared" ca="1" si="80"/>
        <v/>
      </c>
      <c r="Z134" s="315" t="str">
        <f t="shared" ca="1" si="81"/>
        <v/>
      </c>
      <c r="AA134" s="316" t="str">
        <f t="shared" ca="1" si="82"/>
        <v/>
      </c>
      <c r="AC134" s="310" t="e">
        <f t="shared" ca="1" si="83"/>
        <v>#N/A</v>
      </c>
      <c r="AD134" s="323" t="e">
        <f t="shared" ca="1" si="84"/>
        <v>#N/A</v>
      </c>
      <c r="AE134" s="324">
        <f t="shared" ca="1" si="63"/>
        <v>112.37728688330651</v>
      </c>
      <c r="AG134" s="306">
        <f t="shared" ca="1" si="85"/>
        <v>118.11423202405636</v>
      </c>
      <c r="AH134" s="304">
        <f t="shared" ca="1" si="86"/>
        <v>127.73694217964587</v>
      </c>
    </row>
    <row r="135" spans="1:34" x14ac:dyDescent="0.2">
      <c r="A135" s="347">
        <f t="shared" ca="1" si="64"/>
        <v>0.01</v>
      </c>
      <c r="B135" s="304">
        <f t="shared" ca="1" si="65"/>
        <v>1.3100000000000009</v>
      </c>
      <c r="D135" s="306">
        <f t="shared" ca="1" si="66"/>
        <v>24.729751386695231</v>
      </c>
      <c r="E135" s="307">
        <f t="shared" ca="1" si="67"/>
        <v>114.85497096024093</v>
      </c>
      <c r="F135" s="304">
        <f t="shared" ca="1" si="68"/>
        <v>117.4871267753431</v>
      </c>
      <c r="G135" s="306">
        <f t="shared" ca="1" si="69"/>
        <v>34.190683666466477</v>
      </c>
      <c r="H135" s="307">
        <f t="shared" ca="1" si="70"/>
        <v>172.26030828889265</v>
      </c>
      <c r="I135" s="304">
        <f t="shared" ca="1" si="71"/>
        <v>175.62066125990049</v>
      </c>
      <c r="J135" s="306">
        <f t="shared" ca="1" si="72"/>
        <v>21.883892858766007</v>
      </c>
      <c r="K135" s="307">
        <f t="shared" ca="1" si="73"/>
        <v>114.09414721764742</v>
      </c>
      <c r="L135" s="304">
        <f t="shared" ca="1" si="58"/>
        <v>116.17391788166634</v>
      </c>
      <c r="M135" s="306">
        <f t="shared" ca="1" si="74"/>
        <v>1.374860175516164</v>
      </c>
      <c r="N135" s="304">
        <f t="shared" ca="1" si="75"/>
        <v>78.773685477691799</v>
      </c>
      <c r="P135" s="310">
        <f t="shared" ca="1" si="76"/>
        <v>13</v>
      </c>
      <c r="Q135" s="304">
        <f t="shared" ca="1" si="77"/>
        <v>1156.4594999999995</v>
      </c>
      <c r="R135" s="306">
        <f t="shared" ca="1" si="78"/>
        <v>0.56832091283797359</v>
      </c>
      <c r="S135" s="307">
        <f t="shared" ca="1" si="79"/>
        <v>8.1411927304283136</v>
      </c>
      <c r="T135" s="304">
        <f t="shared" ca="1" si="59"/>
        <v>79.865100685501758</v>
      </c>
      <c r="U135" s="311">
        <f t="shared" ca="1" si="60"/>
        <v>0</v>
      </c>
      <c r="V135" s="306">
        <f t="shared" ca="1" si="61"/>
        <v>1.21110274672887</v>
      </c>
      <c r="W135" s="304">
        <f t="shared" ca="1" si="62"/>
        <v>123.38598653568665</v>
      </c>
      <c r="Y135" s="314" t="str">
        <f t="shared" ca="1" si="80"/>
        <v/>
      </c>
      <c r="Z135" s="315" t="str">
        <f t="shared" ca="1" si="81"/>
        <v/>
      </c>
      <c r="AA135" s="316" t="str">
        <f t="shared" ca="1" si="82"/>
        <v/>
      </c>
      <c r="AC135" s="310" t="e">
        <f t="shared" ca="1" si="83"/>
        <v>#N/A</v>
      </c>
      <c r="AD135" s="323" t="e">
        <f t="shared" ca="1" si="84"/>
        <v>#N/A</v>
      </c>
      <c r="AE135" s="324">
        <f t="shared" ca="1" si="63"/>
        <v>114.09414721764742</v>
      </c>
      <c r="AG135" s="306">
        <f t="shared" ca="1" si="85"/>
        <v>117.47161951865627</v>
      </c>
      <c r="AH135" s="304">
        <f t="shared" ca="1" si="86"/>
        <v>127.0941209819143</v>
      </c>
    </row>
    <row r="136" spans="1:34" x14ac:dyDescent="0.2">
      <c r="A136" s="347">
        <f t="shared" ca="1" si="64"/>
        <v>0.01</v>
      </c>
      <c r="B136" s="304">
        <f t="shared" ca="1" si="65"/>
        <v>1.320000000000001</v>
      </c>
      <c r="D136" s="306">
        <f t="shared" ca="1" si="66"/>
        <v>24.611067457340337</v>
      </c>
      <c r="E136" s="307">
        <f t="shared" ca="1" si="67"/>
        <v>114.18606012202102</v>
      </c>
      <c r="F136" s="304">
        <f t="shared" ca="1" si="68"/>
        <v>116.80822303065635</v>
      </c>
      <c r="G136" s="306">
        <f t="shared" ca="1" si="69"/>
        <v>34.436794341039878</v>
      </c>
      <c r="H136" s="307">
        <f t="shared" ca="1" si="70"/>
        <v>173.40216889011285</v>
      </c>
      <c r="I136" s="304">
        <f t="shared" ca="1" si="71"/>
        <v>176.78858837685848</v>
      </c>
      <c r="J136" s="306">
        <f t="shared" ca="1" si="72"/>
        <v>22.227030248803541</v>
      </c>
      <c r="K136" s="307">
        <f t="shared" ca="1" si="73"/>
        <v>115.82245960354244</v>
      </c>
      <c r="L136" s="304">
        <f t="shared" ca="1" si="58"/>
        <v>117.93592761451215</v>
      </c>
      <c r="M136" s="306">
        <f t="shared" ca="1" si="74"/>
        <v>1.3747521448741655</v>
      </c>
      <c r="N136" s="304">
        <f t="shared" ca="1" si="75"/>
        <v>78.767495777847188</v>
      </c>
      <c r="P136" s="310">
        <f t="shared" ca="1" si="76"/>
        <v>13</v>
      </c>
      <c r="Q136" s="304">
        <f t="shared" ca="1" si="77"/>
        <v>1151.8384999999994</v>
      </c>
      <c r="R136" s="306">
        <f t="shared" ca="1" si="78"/>
        <v>0.56605000673341543</v>
      </c>
      <c r="S136" s="307">
        <f t="shared" ca="1" si="79"/>
        <v>8.1355322303609796</v>
      </c>
      <c r="T136" s="304">
        <f t="shared" ca="1" si="59"/>
        <v>79.809571179841214</v>
      </c>
      <c r="U136" s="311">
        <f t="shared" ca="1" si="60"/>
        <v>0</v>
      </c>
      <c r="V136" s="306">
        <f t="shared" ca="1" si="61"/>
        <v>1.2108934415135879</v>
      </c>
      <c r="W136" s="304">
        <f t="shared" ca="1" si="62"/>
        <v>125.01093854455569</v>
      </c>
      <c r="Y136" s="314" t="str">
        <f t="shared" ca="1" si="80"/>
        <v/>
      </c>
      <c r="Z136" s="315" t="str">
        <f t="shared" ca="1" si="81"/>
        <v/>
      </c>
      <c r="AA136" s="316" t="str">
        <f t="shared" ca="1" si="82"/>
        <v/>
      </c>
      <c r="AC136" s="310" t="e">
        <f t="shared" ca="1" si="83"/>
        <v>#N/A</v>
      </c>
      <c r="AD136" s="323" t="e">
        <f t="shared" ca="1" si="84"/>
        <v>#N/A</v>
      </c>
      <c r="AE136" s="324">
        <f t="shared" ca="1" si="63"/>
        <v>115.82245960354244</v>
      </c>
      <c r="AG136" s="306">
        <f t="shared" ca="1" si="85"/>
        <v>116.79260853417985</v>
      </c>
      <c r="AH136" s="304">
        <f t="shared" ca="1" si="86"/>
        <v>126.41490247266582</v>
      </c>
    </row>
    <row r="137" spans="1:34" x14ac:dyDescent="0.2">
      <c r="A137" s="347">
        <f t="shared" ca="1" si="64"/>
        <v>0.01</v>
      </c>
      <c r="B137" s="304">
        <f t="shared" ca="1" si="65"/>
        <v>1.330000000000001</v>
      </c>
      <c r="D137" s="306">
        <f t="shared" ca="1" si="66"/>
        <v>24.491886975181</v>
      </c>
      <c r="E137" s="307">
        <f t="shared" ca="1" si="67"/>
        <v>113.51583223771829</v>
      </c>
      <c r="F137" s="304">
        <f t="shared" ca="1" si="68"/>
        <v>116.12793245480108</v>
      </c>
      <c r="G137" s="306">
        <f t="shared" ca="1" si="69"/>
        <v>34.681713210791685</v>
      </c>
      <c r="H137" s="307">
        <f t="shared" ca="1" si="70"/>
        <v>174.53732721249003</v>
      </c>
      <c r="I137" s="304">
        <f t="shared" ca="1" si="71"/>
        <v>177.9497114965782</v>
      </c>
      <c r="J137" s="306">
        <f t="shared" ca="1" si="72"/>
        <v>22.572622786562697</v>
      </c>
      <c r="K137" s="307">
        <f t="shared" ca="1" si="73"/>
        <v>117.56215708405546</v>
      </c>
      <c r="L137" s="304">
        <f t="shared" ca="1" si="58"/>
        <v>119.70958223016477</v>
      </c>
      <c r="M137" s="306">
        <f t="shared" ca="1" si="74"/>
        <v>1.3746447607179695</v>
      </c>
      <c r="N137" s="304">
        <f t="shared" ca="1" si="75"/>
        <v>78.761343118910588</v>
      </c>
      <c r="P137" s="310">
        <f t="shared" ca="1" si="76"/>
        <v>13</v>
      </c>
      <c r="Q137" s="304">
        <f t="shared" ca="1" si="77"/>
        <v>1147.2174999999995</v>
      </c>
      <c r="R137" s="306">
        <f t="shared" ca="1" si="78"/>
        <v>0.56377910062885728</v>
      </c>
      <c r="S137" s="307">
        <f t="shared" ca="1" si="79"/>
        <v>8.1298944393546915</v>
      </c>
      <c r="T137" s="304">
        <f t="shared" ca="1" si="59"/>
        <v>79.754264450069527</v>
      </c>
      <c r="U137" s="311">
        <f t="shared" ca="1" si="60"/>
        <v>0</v>
      </c>
      <c r="V137" s="306">
        <f t="shared" ca="1" si="61"/>
        <v>1.2106827938391873</v>
      </c>
      <c r="W137" s="304">
        <f t="shared" ca="1" si="62"/>
        <v>126.63640683002127</v>
      </c>
      <c r="Y137" s="314" t="str">
        <f t="shared" ca="1" si="80"/>
        <v/>
      </c>
      <c r="Z137" s="315" t="str">
        <f t="shared" ca="1" si="81"/>
        <v/>
      </c>
      <c r="AA137" s="316" t="str">
        <f t="shared" ca="1" si="82"/>
        <v/>
      </c>
      <c r="AC137" s="310" t="e">
        <f t="shared" ca="1" si="83"/>
        <v>#N/A</v>
      </c>
      <c r="AD137" s="323" t="e">
        <f t="shared" ca="1" si="84"/>
        <v>#N/A</v>
      </c>
      <c r="AE137" s="324">
        <f t="shared" ca="1" si="63"/>
        <v>117.56215708405546</v>
      </c>
      <c r="AG137" s="306">
        <f t="shared" ca="1" si="85"/>
        <v>116.112209371891</v>
      </c>
      <c r="AH137" s="304">
        <f t="shared" ca="1" si="86"/>
        <v>125.73429693099204</v>
      </c>
    </row>
    <row r="138" spans="1:34" x14ac:dyDescent="0.2">
      <c r="A138" s="347">
        <f t="shared" ca="1" si="64"/>
        <v>0.01</v>
      </c>
      <c r="B138" s="304">
        <f t="shared" ca="1" si="65"/>
        <v>1.340000000000001</v>
      </c>
      <c r="D138" s="306">
        <f t="shared" ca="1" si="66"/>
        <v>24.372218065436968</v>
      </c>
      <c r="E138" s="307">
        <f t="shared" ca="1" si="67"/>
        <v>112.84431564833089</v>
      </c>
      <c r="F138" s="304">
        <f t="shared" ca="1" si="68"/>
        <v>115.44628442513579</v>
      </c>
      <c r="G138" s="306">
        <f t="shared" ca="1" si="69"/>
        <v>34.925435391446058</v>
      </c>
      <c r="H138" s="307">
        <f t="shared" ca="1" si="70"/>
        <v>175.66577036897334</v>
      </c>
      <c r="I138" s="304">
        <f t="shared" ca="1" si="71"/>
        <v>179.10401703090565</v>
      </c>
      <c r="J138" s="306">
        <f t="shared" ca="1" si="72"/>
        <v>22.920658529573885</v>
      </c>
      <c r="K138" s="307">
        <f t="shared" ca="1" si="73"/>
        <v>119.31317257196277</v>
      </c>
      <c r="L138" s="304">
        <f t="shared" ca="1" si="58"/>
        <v>121.49481362023769</v>
      </c>
      <c r="M138" s="306">
        <f t="shared" ca="1" si="74"/>
        <v>1.3745380109508887</v>
      </c>
      <c r="N138" s="304">
        <f t="shared" ca="1" si="75"/>
        <v>78.755226807792852</v>
      </c>
      <c r="P138" s="310">
        <f t="shared" ca="1" si="76"/>
        <v>13</v>
      </c>
      <c r="Q138" s="304">
        <f t="shared" ca="1" si="77"/>
        <v>1142.5964999999994</v>
      </c>
      <c r="R138" s="306">
        <f t="shared" ca="1" si="78"/>
        <v>0.56150819452429912</v>
      </c>
      <c r="S138" s="307">
        <f t="shared" ca="1" si="79"/>
        <v>8.1242793574094492</v>
      </c>
      <c r="T138" s="304">
        <f t="shared" ca="1" si="59"/>
        <v>79.699180496186699</v>
      </c>
      <c r="U138" s="311">
        <f t="shared" ca="1" si="60"/>
        <v>0</v>
      </c>
      <c r="V138" s="306">
        <f t="shared" ca="1" si="61"/>
        <v>1.2104708125325168</v>
      </c>
      <c r="W138" s="304">
        <f t="shared" ca="1" si="62"/>
        <v>128.2621772145981</v>
      </c>
      <c r="Y138" s="314" t="str">
        <f t="shared" ca="1" si="80"/>
        <v/>
      </c>
      <c r="Z138" s="315" t="str">
        <f t="shared" ca="1" si="81"/>
        <v/>
      </c>
      <c r="AA138" s="316" t="str">
        <f t="shared" ca="1" si="82"/>
        <v/>
      </c>
      <c r="AC138" s="310" t="e">
        <f t="shared" ca="1" si="83"/>
        <v>#N/A</v>
      </c>
      <c r="AD138" s="323" t="e">
        <f t="shared" ca="1" si="84"/>
        <v>#N/A</v>
      </c>
      <c r="AE138" s="324">
        <f t="shared" ca="1" si="63"/>
        <v>119.31317257196277</v>
      </c>
      <c r="AG138" s="306">
        <f t="shared" ca="1" si="85"/>
        <v>115.43045138364036</v>
      </c>
      <c r="AH138" s="304">
        <f t="shared" ca="1" si="86"/>
        <v>125.05233368709918</v>
      </c>
    </row>
    <row r="139" spans="1:34" x14ac:dyDescent="0.2">
      <c r="A139" s="347">
        <f t="shared" ca="1" si="64"/>
        <v>0.01</v>
      </c>
      <c r="B139" s="304">
        <f t="shared" ca="1" si="65"/>
        <v>1.350000000000001</v>
      </c>
      <c r="D139" s="306">
        <f t="shared" ca="1" si="66"/>
        <v>24.252068792365911</v>
      </c>
      <c r="E139" s="307">
        <f t="shared" ca="1" si="67"/>
        <v>112.17153866095308</v>
      </c>
      <c r="F139" s="304">
        <f t="shared" ca="1" si="68"/>
        <v>114.76330827522941</v>
      </c>
      <c r="G139" s="306">
        <f t="shared" ca="1" si="69"/>
        <v>35.167956079369716</v>
      </c>
      <c r="H139" s="307">
        <f t="shared" ca="1" si="70"/>
        <v>176.78748575558288</v>
      </c>
      <c r="I139" s="304">
        <f t="shared" ca="1" si="71"/>
        <v>180.25149168475943</v>
      </c>
      <c r="J139" s="306">
        <f t="shared" ca="1" si="72"/>
        <v>23.271125486927964</v>
      </c>
      <c r="K139" s="307">
        <f t="shared" ca="1" si="73"/>
        <v>121.07543885258555</v>
      </c>
      <c r="L139" s="304">
        <f t="shared" ca="1" si="58"/>
        <v>123.29155354189731</v>
      </c>
      <c r="M139" s="306">
        <f t="shared" ca="1" si="74"/>
        <v>1.3744318837663083</v>
      </c>
      <c r="N139" s="304">
        <f t="shared" ca="1" si="75"/>
        <v>78.749146168024794</v>
      </c>
      <c r="P139" s="310">
        <f t="shared" ca="1" si="76"/>
        <v>13</v>
      </c>
      <c r="Q139" s="304">
        <f t="shared" ca="1" si="77"/>
        <v>1137.9754999999996</v>
      </c>
      <c r="R139" s="306">
        <f t="shared" ca="1" si="78"/>
        <v>0.55923728841974096</v>
      </c>
      <c r="S139" s="307">
        <f t="shared" ca="1" si="79"/>
        <v>8.1186869845252509</v>
      </c>
      <c r="T139" s="304">
        <f t="shared" ca="1" si="59"/>
        <v>79.644319318192714</v>
      </c>
      <c r="U139" s="311">
        <f t="shared" ca="1" si="60"/>
        <v>0</v>
      </c>
      <c r="V139" s="306">
        <f t="shared" ca="1" si="61"/>
        <v>1.2102575064344696</v>
      </c>
      <c r="W139" s="304">
        <f t="shared" ca="1" si="62"/>
        <v>129.8880367437078</v>
      </c>
      <c r="Y139" s="314" t="str">
        <f t="shared" ca="1" si="80"/>
        <v/>
      </c>
      <c r="Z139" s="315" t="str">
        <f t="shared" ca="1" si="81"/>
        <v/>
      </c>
      <c r="AA139" s="316" t="str">
        <f t="shared" ca="1" si="82"/>
        <v/>
      </c>
      <c r="AC139" s="310" t="e">
        <f t="shared" ca="1" si="83"/>
        <v>#N/A</v>
      </c>
      <c r="AD139" s="323" t="e">
        <f t="shared" ca="1" si="84"/>
        <v>#N/A</v>
      </c>
      <c r="AE139" s="324">
        <f t="shared" ca="1" si="63"/>
        <v>121.07543885258555</v>
      </c>
      <c r="AG139" s="306">
        <f t="shared" ca="1" si="85"/>
        <v>114.7473638769349</v>
      </c>
      <c r="AH139" s="304">
        <f t="shared" ca="1" si="86"/>
        <v>124.36904202736</v>
      </c>
    </row>
    <row r="140" spans="1:34" x14ac:dyDescent="0.2">
      <c r="A140" s="347">
        <f t="shared" ca="1" si="64"/>
        <v>0.01</v>
      </c>
      <c r="B140" s="304">
        <f t="shared" ca="1" si="65"/>
        <v>1.360000000000001</v>
      </c>
      <c r="D140" s="306">
        <f t="shared" ca="1" si="66"/>
        <v>24.131447160395702</v>
      </c>
      <c r="E140" s="307">
        <f t="shared" ca="1" si="67"/>
        <v>111.49752954484788</v>
      </c>
      <c r="F140" s="304">
        <f t="shared" ca="1" si="68"/>
        <v>114.07903329121963</v>
      </c>
      <c r="G140" s="306">
        <f t="shared" ca="1" si="69"/>
        <v>35.409270550973673</v>
      </c>
      <c r="H140" s="307">
        <f t="shared" ca="1" si="70"/>
        <v>177.90246105103137</v>
      </c>
      <c r="I140" s="304">
        <f t="shared" ca="1" si="71"/>
        <v>181.39212245565071</v>
      </c>
      <c r="J140" s="306">
        <f t="shared" ca="1" si="72"/>
        <v>23.624011620079681</v>
      </c>
      <c r="K140" s="307">
        <f t="shared" ca="1" si="73"/>
        <v>122.84888858661861</v>
      </c>
      <c r="L140" s="304">
        <f t="shared" ca="1" si="58"/>
        <v>125.09973362079191</v>
      </c>
      <c r="M140" s="306">
        <f t="shared" ca="1" si="74"/>
        <v>1.374326367638167</v>
      </c>
      <c r="N140" s="304">
        <f t="shared" ca="1" si="75"/>
        <v>78.743100539211724</v>
      </c>
      <c r="P140" s="310">
        <f t="shared" ca="1" si="76"/>
        <v>13</v>
      </c>
      <c r="Q140" s="304">
        <f t="shared" ca="1" si="77"/>
        <v>1133.3544999999995</v>
      </c>
      <c r="R140" s="306">
        <f t="shared" ca="1" si="78"/>
        <v>0.55696638231518281</v>
      </c>
      <c r="S140" s="307">
        <f t="shared" ca="1" si="79"/>
        <v>8.1131173207020986</v>
      </c>
      <c r="T140" s="304">
        <f t="shared" ca="1" si="59"/>
        <v>79.589680916087588</v>
      </c>
      <c r="U140" s="311">
        <f t="shared" ca="1" si="60"/>
        <v>0</v>
      </c>
      <c r="V140" s="306">
        <f t="shared" ca="1" si="61"/>
        <v>1.2100428843995383</v>
      </c>
      <c r="W140" s="304">
        <f t="shared" ca="1" si="62"/>
        <v>131.51377370724924</v>
      </c>
      <c r="Y140" s="314" t="str">
        <f t="shared" ca="1" si="80"/>
        <v/>
      </c>
      <c r="Z140" s="315" t="str">
        <f t="shared" ca="1" si="81"/>
        <v/>
      </c>
      <c r="AA140" s="316" t="str">
        <f t="shared" ca="1" si="82"/>
        <v/>
      </c>
      <c r="AC140" s="310" t="e">
        <f t="shared" ca="1" si="83"/>
        <v>#N/A</v>
      </c>
      <c r="AD140" s="323" t="e">
        <f t="shared" ca="1" si="84"/>
        <v>#N/A</v>
      </c>
      <c r="AE140" s="324">
        <f t="shared" ca="1" si="63"/>
        <v>122.84888858661861</v>
      </c>
      <c r="AG140" s="306">
        <f t="shared" ca="1" si="85"/>
        <v>114.06297611127779</v>
      </c>
      <c r="AH140" s="304">
        <f t="shared" ca="1" si="86"/>
        <v>123.68445119063718</v>
      </c>
    </row>
    <row r="141" spans="1:34" x14ac:dyDescent="0.2">
      <c r="A141" s="347">
        <f t="shared" ca="1" si="64"/>
        <v>0.01</v>
      </c>
      <c r="B141" s="304">
        <f t="shared" ca="1" si="65"/>
        <v>1.370000000000001</v>
      </c>
      <c r="D141" s="306">
        <f t="shared" ca="1" si="66"/>
        <v>24.010361115184452</v>
      </c>
      <c r="E141" s="307">
        <f t="shared" ca="1" si="67"/>
        <v>110.82231652756666</v>
      </c>
      <c r="F141" s="304">
        <f t="shared" ca="1" si="68"/>
        <v>113.39348870820466</v>
      </c>
      <c r="G141" s="306">
        <f t="shared" ca="1" si="69"/>
        <v>35.649374162125518</v>
      </c>
      <c r="H141" s="307">
        <f t="shared" ca="1" si="70"/>
        <v>179.01068421630703</v>
      </c>
      <c r="I141" s="304">
        <f t="shared" ca="1" si="71"/>
        <v>182.52589663316712</v>
      </c>
      <c r="J141" s="306">
        <f t="shared" ca="1" si="72"/>
        <v>23.979304843645178</v>
      </c>
      <c r="K141" s="307">
        <f t="shared" ca="1" si="73"/>
        <v>124.63345431295531</v>
      </c>
      <c r="L141" s="304">
        <f t="shared" ca="1" si="58"/>
        <v>126.91928535397598</v>
      </c>
      <c r="M141" s="306">
        <f t="shared" ca="1" si="74"/>
        <v>1.3742214513118201</v>
      </c>
      <c r="N141" s="304">
        <f t="shared" ca="1" si="75"/>
        <v>78.737089276510034</v>
      </c>
      <c r="P141" s="310">
        <f t="shared" ca="1" si="76"/>
        <v>13</v>
      </c>
      <c r="Q141" s="304">
        <f t="shared" ca="1" si="77"/>
        <v>1128.7334999999994</v>
      </c>
      <c r="R141" s="306">
        <f t="shared" ca="1" si="78"/>
        <v>0.55469547621062465</v>
      </c>
      <c r="S141" s="307">
        <f t="shared" ca="1" si="79"/>
        <v>8.107570365939992</v>
      </c>
      <c r="T141" s="304">
        <f t="shared" ca="1" si="59"/>
        <v>79.535265289871319</v>
      </c>
      <c r="U141" s="311">
        <f t="shared" ca="1" si="60"/>
        <v>0</v>
      </c>
      <c r="V141" s="306">
        <f t="shared" ca="1" si="61"/>
        <v>1.2098269552953622</v>
      </c>
      <c r="W141" s="304">
        <f t="shared" ca="1" si="62"/>
        <v>133.13917766079069</v>
      </c>
      <c r="Y141" s="314" t="str">
        <f t="shared" ca="1" si="80"/>
        <v/>
      </c>
      <c r="Z141" s="315" t="str">
        <f t="shared" ca="1" si="81"/>
        <v/>
      </c>
      <c r="AA141" s="316" t="str">
        <f t="shared" ca="1" si="82"/>
        <v/>
      </c>
      <c r="AC141" s="310" t="e">
        <f t="shared" ca="1" si="83"/>
        <v>#N/A</v>
      </c>
      <c r="AD141" s="323" t="e">
        <f t="shared" ca="1" si="84"/>
        <v>#N/A</v>
      </c>
      <c r="AE141" s="324">
        <f t="shared" ca="1" si="63"/>
        <v>124.63345431295531</v>
      </c>
      <c r="AG141" s="306">
        <f t="shared" ca="1" si="85"/>
        <v>113.37731729454151</v>
      </c>
      <c r="AH141" s="304">
        <f t="shared" ca="1" si="86"/>
        <v>122.99859036464032</v>
      </c>
    </row>
    <row r="142" spans="1:34" x14ac:dyDescent="0.2">
      <c r="A142" s="347">
        <f t="shared" ca="1" si="64"/>
        <v>0.01</v>
      </c>
      <c r="B142" s="304">
        <f t="shared" ca="1" si="65"/>
        <v>1.380000000000001</v>
      </c>
      <c r="D142" s="306">
        <f t="shared" ca="1" si="66"/>
        <v>23.888818544612768</v>
      </c>
      <c r="E142" s="307">
        <f t="shared" ca="1" si="67"/>
        <v>110.14592779111399</v>
      </c>
      <c r="F142" s="304">
        <f t="shared" ca="1" si="68"/>
        <v>112.70670370666836</v>
      </c>
      <c r="G142" s="306">
        <f t="shared" ca="1" si="69"/>
        <v>35.888262347571647</v>
      </c>
      <c r="H142" s="307">
        <f t="shared" ca="1" si="70"/>
        <v>180.11214349421817</v>
      </c>
      <c r="I142" s="304">
        <f t="shared" ca="1" si="71"/>
        <v>183.65280179842063</v>
      </c>
      <c r="J142" s="306">
        <f t="shared" ca="1" si="72"/>
        <v>24.336993026193664</v>
      </c>
      <c r="K142" s="307">
        <f t="shared" ca="1" si="73"/>
        <v>126.42906845150793</v>
      </c>
      <c r="L142" s="304">
        <f t="shared" ca="1" si="58"/>
        <v>128.75014011282892</v>
      </c>
      <c r="M142" s="306">
        <f t="shared" ca="1" si="74"/>
        <v>1.3741171237952741</v>
      </c>
      <c r="N142" s="304">
        <f t="shared" ca="1" si="75"/>
        <v>78.731111750124867</v>
      </c>
      <c r="P142" s="310">
        <f t="shared" ca="1" si="76"/>
        <v>13</v>
      </c>
      <c r="Q142" s="304">
        <f t="shared" ca="1" si="77"/>
        <v>1124.1124999999995</v>
      </c>
      <c r="R142" s="306">
        <f t="shared" ca="1" si="78"/>
        <v>0.55242457010606649</v>
      </c>
      <c r="S142" s="307">
        <f t="shared" ca="1" si="79"/>
        <v>8.1020461202389313</v>
      </c>
      <c r="T142" s="304">
        <f t="shared" ca="1" si="59"/>
        <v>79.481072439543922</v>
      </c>
      <c r="U142" s="311">
        <f t="shared" ca="1" si="60"/>
        <v>0</v>
      </c>
      <c r="V142" s="306">
        <f t="shared" ca="1" si="61"/>
        <v>1.2096097280022848</v>
      </c>
      <c r="W142" s="304">
        <f t="shared" ca="1" si="62"/>
        <v>134.76403944638287</v>
      </c>
      <c r="Y142" s="314" t="str">
        <f t="shared" ca="1" si="80"/>
        <v/>
      </c>
      <c r="Z142" s="315" t="str">
        <f t="shared" ca="1" si="81"/>
        <v/>
      </c>
      <c r="AA142" s="316" t="str">
        <f t="shared" ca="1" si="82"/>
        <v/>
      </c>
      <c r="AC142" s="310" t="e">
        <f t="shared" ca="1" si="83"/>
        <v>#N/A</v>
      </c>
      <c r="AD142" s="323" t="e">
        <f t="shared" ca="1" si="84"/>
        <v>#N/A</v>
      </c>
      <c r="AE142" s="324">
        <f t="shared" ca="1" si="63"/>
        <v>126.42906845150793</v>
      </c>
      <c r="AG142" s="306">
        <f t="shared" ca="1" si="85"/>
        <v>112.69041657937359</v>
      </c>
      <c r="AH142" s="304">
        <f t="shared" ca="1" si="86"/>
        <v>122.31148868231631</v>
      </c>
    </row>
    <row r="143" spans="1:34" x14ac:dyDescent="0.2">
      <c r="A143" s="347">
        <f t="shared" ca="1" si="64"/>
        <v>0.01</v>
      </c>
      <c r="B143" s="304">
        <f t="shared" ca="1" si="65"/>
        <v>1.390000000000001</v>
      </c>
      <c r="D143" s="306">
        <f t="shared" ca="1" si="66"/>
        <v>23.766827279711119</v>
      </c>
      <c r="E143" s="307">
        <f t="shared" ca="1" si="67"/>
        <v>109.46839146815866</v>
      </c>
      <c r="F143" s="304">
        <f t="shared" ca="1" si="68"/>
        <v>112.01870740893975</v>
      </c>
      <c r="G143" s="306">
        <f t="shared" ca="1" si="69"/>
        <v>36.125930620368756</v>
      </c>
      <c r="H143" s="307">
        <f t="shared" ca="1" si="70"/>
        <v>181.20682740889976</v>
      </c>
      <c r="I143" s="304">
        <f t="shared" ca="1" si="71"/>
        <v>184.77282582345944</v>
      </c>
      <c r="J143" s="306">
        <f t="shared" ca="1" si="72"/>
        <v>24.697063991033367</v>
      </c>
      <c r="K143" s="307">
        <f t="shared" ca="1" si="73"/>
        <v>128.23566330602353</v>
      </c>
      <c r="L143" s="304">
        <f t="shared" ca="1" si="58"/>
        <v>130.59222914596805</v>
      </c>
      <c r="M143" s="306">
        <f t="shared" ca="1" si="74"/>
        <v>1.3740133743507663</v>
      </c>
      <c r="N143" s="304">
        <f t="shared" ca="1" si="75"/>
        <v>78.725167344827753</v>
      </c>
      <c r="P143" s="310">
        <f t="shared" ca="1" si="76"/>
        <v>13</v>
      </c>
      <c r="Q143" s="304">
        <f t="shared" ca="1" si="77"/>
        <v>1119.4914999999994</v>
      </c>
      <c r="R143" s="306">
        <f t="shared" ca="1" si="78"/>
        <v>0.55015366400150834</v>
      </c>
      <c r="S143" s="307">
        <f t="shared" ca="1" si="79"/>
        <v>8.0965445835989165</v>
      </c>
      <c r="T143" s="304">
        <f t="shared" ca="1" si="59"/>
        <v>79.42710236510537</v>
      </c>
      <c r="U143" s="311">
        <f t="shared" ca="1" si="60"/>
        <v>0</v>
      </c>
      <c r="V143" s="306">
        <f t="shared" ca="1" si="61"/>
        <v>1.2093912114129057</v>
      </c>
      <c r="W143" s="304">
        <f t="shared" ca="1" si="62"/>
        <v>136.3881512129897</v>
      </c>
      <c r="Y143" s="314" t="str">
        <f t="shared" ca="1" si="80"/>
        <v/>
      </c>
      <c r="Z143" s="315" t="str">
        <f t="shared" ca="1" si="81"/>
        <v/>
      </c>
      <c r="AA143" s="316" t="str">
        <f t="shared" ca="1" si="82"/>
        <v/>
      </c>
      <c r="AC143" s="310" t="e">
        <f t="shared" ca="1" si="83"/>
        <v>#N/A</v>
      </c>
      <c r="AD143" s="323" t="e">
        <f t="shared" ca="1" si="84"/>
        <v>#N/A</v>
      </c>
      <c r="AE143" s="324">
        <f t="shared" ca="1" si="63"/>
        <v>128.23566330602353</v>
      </c>
      <c r="AG143" s="306">
        <f t="shared" ca="1" si="85"/>
        <v>112.00230305963584</v>
      </c>
      <c r="AH143" s="304">
        <f t="shared" ca="1" si="86"/>
        <v>121.62317521827379</v>
      </c>
    </row>
    <row r="144" spans="1:34" x14ac:dyDescent="0.2">
      <c r="A144" s="347">
        <f t="shared" ca="1" si="64"/>
        <v>0.01</v>
      </c>
      <c r="B144" s="304">
        <f t="shared" ca="1" si="65"/>
        <v>1.400000000000001</v>
      </c>
      <c r="D144" s="306">
        <f t="shared" ca="1" si="66"/>
        <v>23.644395095526832</v>
      </c>
      <c r="E144" s="307">
        <f t="shared" ca="1" si="67"/>
        <v>108.78973563829076</v>
      </c>
      <c r="F144" s="304">
        <f t="shared" ca="1" si="68"/>
        <v>111.32952887568763</v>
      </c>
      <c r="G144" s="306">
        <f t="shared" ca="1" si="69"/>
        <v>36.362374571324025</v>
      </c>
      <c r="H144" s="307">
        <f t="shared" ca="1" si="70"/>
        <v>182.29472476528267</v>
      </c>
      <c r="I144" s="304">
        <f t="shared" ca="1" si="71"/>
        <v>185.88595687064537</v>
      </c>
      <c r="J144" s="306">
        <f t="shared" ca="1" si="72"/>
        <v>25.05950551699183</v>
      </c>
      <c r="K144" s="307">
        <f t="shared" ca="1" si="73"/>
        <v>130.05317106689444</v>
      </c>
      <c r="L144" s="304">
        <f t="shared" ca="1" si="58"/>
        <v>132.44548358215562</v>
      </c>
      <c r="M144" s="306">
        <f t="shared" ca="1" si="74"/>
        <v>1.373910192486681</v>
      </c>
      <c r="N144" s="304">
        <f t="shared" ca="1" si="75"/>
        <v>78.719255459493368</v>
      </c>
      <c r="P144" s="310">
        <f t="shared" ca="1" si="76"/>
        <v>13</v>
      </c>
      <c r="Q144" s="304">
        <f t="shared" ca="1" si="77"/>
        <v>1114.8704999999993</v>
      </c>
      <c r="R144" s="306">
        <f t="shared" ca="1" si="78"/>
        <v>0.54788275789695007</v>
      </c>
      <c r="S144" s="307">
        <f t="shared" ca="1" si="79"/>
        <v>8.0910657560199475</v>
      </c>
      <c r="T144" s="304">
        <f t="shared" ca="1" si="59"/>
        <v>79.373355066555689</v>
      </c>
      <c r="U144" s="311">
        <f t="shared" ca="1" si="60"/>
        <v>0</v>
      </c>
      <c r="V144" s="306">
        <f t="shared" ca="1" si="61"/>
        <v>1.2091714144316388</v>
      </c>
      <c r="W144" s="304">
        <f t="shared" ca="1" si="62"/>
        <v>138.01130643653661</v>
      </c>
      <c r="Y144" s="314" t="str">
        <f t="shared" ca="1" si="80"/>
        <v/>
      </c>
      <c r="Z144" s="315" t="str">
        <f t="shared" ca="1" si="81"/>
        <v/>
      </c>
      <c r="AA144" s="316" t="str">
        <f t="shared" ca="1" si="82"/>
        <v/>
      </c>
      <c r="AC144" s="310" t="e">
        <f t="shared" ca="1" si="83"/>
        <v>#N/A</v>
      </c>
      <c r="AD144" s="323" t="e">
        <f t="shared" ca="1" si="84"/>
        <v>#N/A</v>
      </c>
      <c r="AE144" s="324">
        <f t="shared" ca="1" si="63"/>
        <v>130.05317106689444</v>
      </c>
      <c r="AG144" s="306">
        <f t="shared" ca="1" si="85"/>
        <v>111.31300576687849</v>
      </c>
      <c r="AH144" s="304">
        <f t="shared" ca="1" si="86"/>
        <v>120.93367898524311</v>
      </c>
    </row>
    <row r="145" spans="1:34" x14ac:dyDescent="0.2">
      <c r="A145" s="347">
        <f t="shared" ca="1" si="64"/>
        <v>0.01</v>
      </c>
      <c r="B145" s="304">
        <f t="shared" ca="1" si="65"/>
        <v>1.410000000000001</v>
      </c>
      <c r="D145" s="306">
        <f t="shared" ca="1" si="66"/>
        <v>23.43968038262766</v>
      </c>
      <c r="E145" s="307">
        <f t="shared" ca="1" si="67"/>
        <v>107.69965480970012</v>
      </c>
      <c r="F145" s="304">
        <f t="shared" ca="1" si="68"/>
        <v>110.22084314034393</v>
      </c>
      <c r="G145" s="306">
        <f t="shared" ca="1" si="69"/>
        <v>36.596771375150304</v>
      </c>
      <c r="H145" s="307">
        <f t="shared" ca="1" si="70"/>
        <v>183.37172131337968</v>
      </c>
      <c r="I145" s="304">
        <f t="shared" ca="1" si="71"/>
        <v>186.98799922058313</v>
      </c>
      <c r="J145" s="306">
        <f t="shared" ca="1" si="72"/>
        <v>25.424301246724202</v>
      </c>
      <c r="K145" s="307">
        <f t="shared" ca="1" si="73"/>
        <v>131.88150329728774</v>
      </c>
      <c r="L145" s="304">
        <f t="shared" ca="1" si="58"/>
        <v>134.30981351277612</v>
      </c>
      <c r="M145" s="306">
        <f t="shared" ca="1" si="74"/>
        <v>1.3738075656533835</v>
      </c>
      <c r="N145" s="304">
        <f t="shared" ca="1" si="75"/>
        <v>78.713375375080631</v>
      </c>
      <c r="P145" s="310">
        <f t="shared" ca="1" si="76"/>
        <v>14</v>
      </c>
      <c r="Q145" s="304">
        <f t="shared" ca="1" si="77"/>
        <v>1106.868333333332</v>
      </c>
      <c r="R145" s="306">
        <f t="shared" ca="1" si="78"/>
        <v>0.54395023914927065</v>
      </c>
      <c r="S145" s="307">
        <f t="shared" ca="1" si="79"/>
        <v>8.0856262536284547</v>
      </c>
      <c r="T145" s="304">
        <f t="shared" ca="1" si="59"/>
        <v>79.319993548095141</v>
      </c>
      <c r="U145" s="311">
        <f t="shared" ca="1" si="60"/>
        <v>0</v>
      </c>
      <c r="V145" s="306">
        <f t="shared" ca="1" si="61"/>
        <v>1.2089503484547415</v>
      </c>
      <c r="W145" s="304">
        <f t="shared" ca="1" si="62"/>
        <v>139.62705137527681</v>
      </c>
      <c r="Y145" s="314" t="str">
        <f t="shared" ca="1" si="80"/>
        <v/>
      </c>
      <c r="Z145" s="315" t="str">
        <f t="shared" ca="1" si="81"/>
        <v/>
      </c>
      <c r="AA145" s="316" t="str">
        <f t="shared" ca="1" si="82"/>
        <v/>
      </c>
      <c r="AC145" s="310" t="e">
        <f t="shared" ca="1" si="83"/>
        <v>#N/A</v>
      </c>
      <c r="AD145" s="323" t="e">
        <f t="shared" ca="1" si="84"/>
        <v>#N/A</v>
      </c>
      <c r="AE145" s="324">
        <f t="shared" ca="1" si="63"/>
        <v>131.88150329728774</v>
      </c>
      <c r="AG145" s="306">
        <f t="shared" ca="1" si="85"/>
        <v>110.20413652340005</v>
      </c>
      <c r="AH145" s="304">
        <f t="shared" ca="1" si="86"/>
        <v>119.82461178712251</v>
      </c>
    </row>
    <row r="146" spans="1:34" x14ac:dyDescent="0.2">
      <c r="A146" s="347">
        <f t="shared" ca="1" si="64"/>
        <v>0.01</v>
      </c>
      <c r="B146" s="304">
        <f t="shared" ca="1" si="65"/>
        <v>1.420000000000001</v>
      </c>
      <c r="D146" s="306">
        <f t="shared" ca="1" si="66"/>
        <v>23.152505129981261</v>
      </c>
      <c r="E146" s="307">
        <f t="shared" ca="1" si="67"/>
        <v>106.19790339893973</v>
      </c>
      <c r="F146" s="304">
        <f t="shared" ca="1" si="68"/>
        <v>108.69237866623558</v>
      </c>
      <c r="G146" s="306">
        <f t="shared" ca="1" si="69"/>
        <v>36.828296426450116</v>
      </c>
      <c r="H146" s="307">
        <f t="shared" ca="1" si="70"/>
        <v>184.43370034736907</v>
      </c>
      <c r="I146" s="304">
        <f t="shared" ca="1" si="71"/>
        <v>188.07475439701525</v>
      </c>
      <c r="J146" s="306">
        <f t="shared" ca="1" si="72"/>
        <v>25.791426585732204</v>
      </c>
      <c r="K146" s="307">
        <f t="shared" ca="1" si="73"/>
        <v>133.72053040559149</v>
      </c>
      <c r="L146" s="304">
        <f t="shared" ca="1" si="58"/>
        <v>136.18508705904597</v>
      </c>
      <c r="M146" s="306">
        <f t="shared" ca="1" si="74"/>
        <v>1.3737054793347068</v>
      </c>
      <c r="N146" s="304">
        <f t="shared" ca="1" si="75"/>
        <v>78.707526259874427</v>
      </c>
      <c r="P146" s="310">
        <f t="shared" ca="1" si="76"/>
        <v>14</v>
      </c>
      <c r="Q146" s="304">
        <f t="shared" ca="1" si="77"/>
        <v>1095.4849999999985</v>
      </c>
      <c r="R146" s="306">
        <f t="shared" ca="1" si="78"/>
        <v>0.53835610775847054</v>
      </c>
      <c r="S146" s="307">
        <f t="shared" ca="1" si="79"/>
        <v>8.0802426925508701</v>
      </c>
      <c r="T146" s="304">
        <f t="shared" ca="1" si="59"/>
        <v>79.267180813924043</v>
      </c>
      <c r="U146" s="311">
        <f t="shared" ca="1" si="60"/>
        <v>0</v>
      </c>
      <c r="V146" s="306">
        <f t="shared" ca="1" si="61"/>
        <v>1.2087280298492802</v>
      </c>
      <c r="W146" s="304">
        <f t="shared" ca="1" si="62"/>
        <v>141.22878818705732</v>
      </c>
      <c r="Y146" s="314" t="str">
        <f t="shared" ca="1" si="80"/>
        <v/>
      </c>
      <c r="Z146" s="315" t="str">
        <f t="shared" ca="1" si="81"/>
        <v/>
      </c>
      <c r="AA146" s="316" t="str">
        <f t="shared" ca="1" si="82"/>
        <v/>
      </c>
      <c r="AC146" s="310" t="e">
        <f t="shared" ca="1" si="83"/>
        <v>#N/A</v>
      </c>
      <c r="AD146" s="323" t="e">
        <f t="shared" ca="1" si="84"/>
        <v>#N/A</v>
      </c>
      <c r="AE146" s="324">
        <f t="shared" ca="1" si="63"/>
        <v>133.72053040559149</v>
      </c>
      <c r="AG146" s="306">
        <f t="shared" ca="1" si="85"/>
        <v>108.67541964106235</v>
      </c>
      <c r="AH146" s="304">
        <f t="shared" ca="1" si="86"/>
        <v>118.29569791337106</v>
      </c>
    </row>
    <row r="147" spans="1:34" x14ac:dyDescent="0.2">
      <c r="A147" s="347">
        <f t="shared" ca="1" si="64"/>
        <v>0.01</v>
      </c>
      <c r="B147" s="304">
        <f t="shared" ca="1" si="65"/>
        <v>1.430000000000001</v>
      </c>
      <c r="D147" s="306">
        <f t="shared" ca="1" si="66"/>
        <v>22.864742084780737</v>
      </c>
      <c r="E147" s="307">
        <f t="shared" ca="1" si="67"/>
        <v>104.69513326366226</v>
      </c>
      <c r="F147" s="304">
        <f t="shared" ca="1" si="68"/>
        <v>107.16280772590621</v>
      </c>
      <c r="G147" s="306">
        <f t="shared" ca="1" si="69"/>
        <v>37.056943847297923</v>
      </c>
      <c r="H147" s="307">
        <f t="shared" ca="1" si="70"/>
        <v>185.48065168000568</v>
      </c>
      <c r="I147" s="304">
        <f t="shared" ca="1" si="71"/>
        <v>189.14621126245532</v>
      </c>
      <c r="J147" s="306">
        <f t="shared" ca="1" si="72"/>
        <v>26.160852787100943</v>
      </c>
      <c r="K147" s="307">
        <f t="shared" ca="1" si="73"/>
        <v>135.57010216572837</v>
      </c>
      <c r="L147" s="304">
        <f t="shared" ca="1" si="58"/>
        <v>138.07115129444816</v>
      </c>
      <c r="M147" s="306">
        <f t="shared" ca="1" si="74"/>
        <v>1.373603919382373</v>
      </c>
      <c r="N147" s="304">
        <f t="shared" ca="1" si="75"/>
        <v>78.701707303238152</v>
      </c>
      <c r="P147" s="310">
        <f t="shared" ca="1" si="76"/>
        <v>14</v>
      </c>
      <c r="Q147" s="304">
        <f t="shared" ca="1" si="77"/>
        <v>1084.1016666666653</v>
      </c>
      <c r="R147" s="306">
        <f t="shared" ca="1" si="78"/>
        <v>0.53276197636767053</v>
      </c>
      <c r="S147" s="307">
        <f t="shared" ca="1" si="79"/>
        <v>8.0749150727871939</v>
      </c>
      <c r="T147" s="304">
        <f t="shared" ca="1" si="59"/>
        <v>79.21491686404238</v>
      </c>
      <c r="U147" s="311">
        <f t="shared" ca="1" si="60"/>
        <v>0</v>
      </c>
      <c r="V147" s="306">
        <f t="shared" ca="1" si="61"/>
        <v>1.2085044774684421</v>
      </c>
      <c r="W147" s="304">
        <f t="shared" ca="1" si="62"/>
        <v>142.81610662238847</v>
      </c>
      <c r="Y147" s="314" t="str">
        <f t="shared" ca="1" si="80"/>
        <v/>
      </c>
      <c r="Z147" s="315" t="str">
        <f t="shared" ca="1" si="81"/>
        <v/>
      </c>
      <c r="AA147" s="316" t="str">
        <f t="shared" ca="1" si="82"/>
        <v/>
      </c>
      <c r="AC147" s="310" t="e">
        <f t="shared" ca="1" si="83"/>
        <v>#N/A</v>
      </c>
      <c r="AD147" s="323" t="e">
        <f t="shared" ca="1" si="84"/>
        <v>#N/A</v>
      </c>
      <c r="AE147" s="324">
        <f t="shared" ca="1" si="63"/>
        <v>135.57010216572837</v>
      </c>
      <c r="AG147" s="306">
        <f t="shared" ca="1" si="85"/>
        <v>107.14558899730028</v>
      </c>
      <c r="AH147" s="304">
        <f t="shared" ca="1" si="86"/>
        <v>116.76567121518462</v>
      </c>
    </row>
    <row r="148" spans="1:34" x14ac:dyDescent="0.2">
      <c r="A148" s="347">
        <f t="shared" ca="1" si="64"/>
        <v>0.01</v>
      </c>
      <c r="B148" s="304">
        <f t="shared" ca="1" si="65"/>
        <v>1.4400000000000011</v>
      </c>
      <c r="D148" s="306">
        <f t="shared" ca="1" si="66"/>
        <v>22.576410720015097</v>
      </c>
      <c r="E148" s="307">
        <f t="shared" ca="1" si="67"/>
        <v>103.19142262673944</v>
      </c>
      <c r="F148" s="304">
        <f t="shared" ca="1" si="68"/>
        <v>105.6322111135101</v>
      </c>
      <c r="G148" s="306">
        <f t="shared" ca="1" si="69"/>
        <v>37.282707954498072</v>
      </c>
      <c r="H148" s="307">
        <f t="shared" ca="1" si="70"/>
        <v>186.51256590627307</v>
      </c>
      <c r="I148" s="304">
        <f t="shared" ca="1" si="71"/>
        <v>190.20235948421421</v>
      </c>
      <c r="J148" s="306">
        <f t="shared" ca="1" si="72"/>
        <v>26.532551046109923</v>
      </c>
      <c r="K148" s="307">
        <f t="shared" ca="1" si="73"/>
        <v>137.43006825365975</v>
      </c>
      <c r="L148" s="304">
        <f t="shared" ca="1" si="58"/>
        <v>139.96785318500818</v>
      </c>
      <c r="M148" s="306">
        <f t="shared" ca="1" si="74"/>
        <v>1.3735028720015543</v>
      </c>
      <c r="N148" s="304">
        <f t="shared" ca="1" si="75"/>
        <v>78.69591771478639</v>
      </c>
      <c r="P148" s="310">
        <f t="shared" ca="1" si="76"/>
        <v>14</v>
      </c>
      <c r="Q148" s="304">
        <f t="shared" ca="1" si="77"/>
        <v>1072.7183333333319</v>
      </c>
      <c r="R148" s="306">
        <f t="shared" ca="1" si="78"/>
        <v>0.52716784497687041</v>
      </c>
      <c r="S148" s="307">
        <f t="shared" ca="1" si="79"/>
        <v>8.0696433943374259</v>
      </c>
      <c r="T148" s="304">
        <f t="shared" ca="1" si="59"/>
        <v>79.163201698450152</v>
      </c>
      <c r="U148" s="311">
        <f t="shared" ca="1" si="60"/>
        <v>0</v>
      </c>
      <c r="V148" s="306">
        <f t="shared" ca="1" si="61"/>
        <v>1.2082797101675715</v>
      </c>
      <c r="W148" s="304">
        <f t="shared" ca="1" si="62"/>
        <v>144.38860336560302</v>
      </c>
      <c r="Y148" s="314" t="str">
        <f t="shared" ca="1" si="80"/>
        <v/>
      </c>
      <c r="Z148" s="315" t="str">
        <f t="shared" ca="1" si="81"/>
        <v/>
      </c>
      <c r="AA148" s="316" t="str">
        <f t="shared" ca="1" si="82"/>
        <v/>
      </c>
      <c r="AC148" s="310" t="e">
        <f t="shared" ca="1" si="83"/>
        <v>#N/A</v>
      </c>
      <c r="AD148" s="323" t="e">
        <f t="shared" ca="1" si="84"/>
        <v>#N/A</v>
      </c>
      <c r="AE148" s="324">
        <f t="shared" ca="1" si="63"/>
        <v>137.43006825365975</v>
      </c>
      <c r="AG148" s="306">
        <f t="shared" ca="1" si="85"/>
        <v>105.61472507213217</v>
      </c>
      <c r="AH148" s="304">
        <f t="shared" ca="1" si="86"/>
        <v>115.23461214698384</v>
      </c>
    </row>
    <row r="149" spans="1:34" x14ac:dyDescent="0.2">
      <c r="A149" s="347">
        <f t="shared" ca="1" si="64"/>
        <v>0.01</v>
      </c>
      <c r="B149" s="304">
        <f t="shared" ca="1" si="65"/>
        <v>1.4500000000000011</v>
      </c>
      <c r="D149" s="306">
        <f t="shared" ca="1" si="66"/>
        <v>22.287530300678341</v>
      </c>
      <c r="E149" s="307">
        <f t="shared" ca="1" si="67"/>
        <v>101.68684913356208</v>
      </c>
      <c r="F149" s="304">
        <f t="shared" ca="1" si="68"/>
        <v>104.10066903538838</v>
      </c>
      <c r="G149" s="306">
        <f t="shared" ca="1" si="69"/>
        <v>37.505583257504853</v>
      </c>
      <c r="H149" s="307">
        <f t="shared" ca="1" si="70"/>
        <v>187.5294343976087</v>
      </c>
      <c r="I149" s="304">
        <f t="shared" ca="1" si="71"/>
        <v>191.2431895283402</v>
      </c>
      <c r="J149" s="306">
        <f t="shared" ca="1" si="72"/>
        <v>26.906492502169936</v>
      </c>
      <c r="K149" s="307">
        <f t="shared" ca="1" si="73"/>
        <v>139.30027825517917</v>
      </c>
      <c r="L149" s="304">
        <f t="shared" ca="1" si="58"/>
        <v>141.8750395973149</v>
      </c>
      <c r="M149" s="306">
        <f t="shared" ca="1" si="74"/>
        <v>1.373402323737094</v>
      </c>
      <c r="N149" s="304">
        <f t="shared" ca="1" si="75"/>
        <v>78.69015672359545</v>
      </c>
      <c r="P149" s="310">
        <f t="shared" ca="1" si="76"/>
        <v>14</v>
      </c>
      <c r="Q149" s="304">
        <f t="shared" ca="1" si="77"/>
        <v>1061.3349999999984</v>
      </c>
      <c r="R149" s="306">
        <f t="shared" ca="1" si="78"/>
        <v>0.5215737135860703</v>
      </c>
      <c r="S149" s="307">
        <f t="shared" ca="1" si="79"/>
        <v>8.0644276572015645</v>
      </c>
      <c r="T149" s="304">
        <f t="shared" ca="1" si="59"/>
        <v>79.112035317147345</v>
      </c>
      <c r="U149" s="311">
        <f t="shared" ca="1" si="60"/>
        <v>0</v>
      </c>
      <c r="V149" s="306">
        <f t="shared" ca="1" si="61"/>
        <v>1.2080537468030268</v>
      </c>
      <c r="W149" s="304">
        <f t="shared" ca="1" si="62"/>
        <v>145.94588206852427</v>
      </c>
      <c r="Y149" s="314" t="str">
        <f t="shared" ca="1" si="80"/>
        <v/>
      </c>
      <c r="Z149" s="315" t="str">
        <f t="shared" ca="1" si="81"/>
        <v/>
      </c>
      <c r="AA149" s="316" t="str">
        <f t="shared" ca="1" si="82"/>
        <v/>
      </c>
      <c r="AC149" s="310" t="e">
        <f t="shared" ca="1" si="83"/>
        <v>#N/A</v>
      </c>
      <c r="AD149" s="323" t="e">
        <f t="shared" ca="1" si="84"/>
        <v>#N/A</v>
      </c>
      <c r="AE149" s="324">
        <f t="shared" ca="1" si="63"/>
        <v>139.30027825517917</v>
      </c>
      <c r="AG149" s="306">
        <f t="shared" ca="1" si="85"/>
        <v>104.08290773961188</v>
      </c>
      <c r="AH149" s="304">
        <f t="shared" ca="1" si="86"/>
        <v>113.70260055784105</v>
      </c>
    </row>
    <row r="150" spans="1:34" x14ac:dyDescent="0.2">
      <c r="A150" s="347">
        <f t="shared" ca="1" si="64"/>
        <v>0.01</v>
      </c>
      <c r="B150" s="304">
        <f t="shared" ca="1" si="65"/>
        <v>1.4600000000000011</v>
      </c>
      <c r="D150" s="306">
        <f t="shared" ca="1" si="66"/>
        <v>21.998119884814056</v>
      </c>
      <c r="E150" s="307">
        <f t="shared" ca="1" si="67"/>
        <v>100.1814898399693</v>
      </c>
      <c r="F150" s="304">
        <f t="shared" ca="1" si="68"/>
        <v>102.56826109973068</v>
      </c>
      <c r="G150" s="306">
        <f t="shared" ca="1" si="69"/>
        <v>37.725564456352991</v>
      </c>
      <c r="H150" s="307">
        <f t="shared" ca="1" si="70"/>
        <v>188.53124929600838</v>
      </c>
      <c r="I150" s="304">
        <f t="shared" ca="1" si="71"/>
        <v>192.26869265344294</v>
      </c>
      <c r="J150" s="306">
        <f t="shared" ca="1" si="72"/>
        <v>27.282648240739224</v>
      </c>
      <c r="K150" s="307">
        <f t="shared" ca="1" si="73"/>
        <v>141.18058167364725</v>
      </c>
      <c r="L150" s="304">
        <f t="shared" ca="1" si="58"/>
        <v>143.79255730647986</v>
      </c>
      <c r="M150" s="306">
        <f t="shared" ca="1" si="74"/>
        <v>1.3733022614603496</v>
      </c>
      <c r="N150" s="304">
        <f t="shared" ca="1" si="75"/>
        <v>78.684423577449522</v>
      </c>
      <c r="P150" s="310">
        <f t="shared" ca="1" si="76"/>
        <v>14</v>
      </c>
      <c r="Q150" s="304">
        <f t="shared" ca="1" si="77"/>
        <v>1049.9516666666652</v>
      </c>
      <c r="R150" s="306">
        <f t="shared" ca="1" si="78"/>
        <v>0.51597958219527029</v>
      </c>
      <c r="S150" s="307">
        <f t="shared" ca="1" si="79"/>
        <v>8.0592678613796114</v>
      </c>
      <c r="T150" s="304">
        <f t="shared" ca="1" si="59"/>
        <v>79.061417720133988</v>
      </c>
      <c r="U150" s="311">
        <f t="shared" ca="1" si="60"/>
        <v>0</v>
      </c>
      <c r="V150" s="306">
        <f t="shared" ca="1" si="61"/>
        <v>1.2078266062310585</v>
      </c>
      <c r="W150" s="304">
        <f t="shared" ca="1" si="62"/>
        <v>147.4875533819189</v>
      </c>
      <c r="Y150" s="314" t="str">
        <f t="shared" ca="1" si="80"/>
        <v/>
      </c>
      <c r="Z150" s="315" t="str">
        <f t="shared" ca="1" si="81"/>
        <v/>
      </c>
      <c r="AA150" s="316" t="str">
        <f t="shared" ca="1" si="82"/>
        <v/>
      </c>
      <c r="AC150" s="310" t="e">
        <f t="shared" ca="1" si="83"/>
        <v>#N/A</v>
      </c>
      <c r="AD150" s="323" t="e">
        <f t="shared" ca="1" si="84"/>
        <v>#N/A</v>
      </c>
      <c r="AE150" s="324">
        <f t="shared" ca="1" si="63"/>
        <v>141.18058167364725</v>
      </c>
      <c r="AG150" s="306">
        <f t="shared" ca="1" si="85"/>
        <v>102.55021625615274</v>
      </c>
      <c r="AH150" s="304">
        <f t="shared" ca="1" si="86"/>
        <v>112.16971567978017</v>
      </c>
    </row>
    <row r="151" spans="1:34" x14ac:dyDescent="0.2">
      <c r="A151" s="347">
        <f t="shared" ca="1" si="64"/>
        <v>0.01</v>
      </c>
      <c r="B151" s="304">
        <f t="shared" ca="1" si="65"/>
        <v>1.4700000000000011</v>
      </c>
      <c r="D151" s="306">
        <f t="shared" ca="1" si="66"/>
        <v>21.708198324449302</v>
      </c>
      <c r="E151" s="307">
        <f t="shared" ca="1" si="67"/>
        <v>98.675421200496729</v>
      </c>
      <c r="F151" s="304">
        <f t="shared" ca="1" si="68"/>
        <v>101.03506630664951</v>
      </c>
      <c r="G151" s="306">
        <f t="shared" ca="1" si="69"/>
        <v>37.942646439597482</v>
      </c>
      <c r="H151" s="307">
        <f t="shared" ca="1" si="70"/>
        <v>189.51800350801335</v>
      </c>
      <c r="I151" s="304">
        <f t="shared" ca="1" si="71"/>
        <v>193.27886090440325</v>
      </c>
      <c r="J151" s="306">
        <f t="shared" ca="1" si="72"/>
        <v>27.660989295218975</v>
      </c>
      <c r="K151" s="307">
        <f t="shared" ca="1" si="73"/>
        <v>143.07082793766736</v>
      </c>
      <c r="L151" s="304">
        <f t="shared" ca="1" si="58"/>
        <v>145.72025300403456</v>
      </c>
      <c r="M151" s="306">
        <f t="shared" ca="1" si="74"/>
        <v>1.3732026723566213</v>
      </c>
      <c r="N151" s="304">
        <f t="shared" ca="1" si="75"/>
        <v>78.678717542120395</v>
      </c>
      <c r="P151" s="310">
        <f t="shared" ca="1" si="76"/>
        <v>14</v>
      </c>
      <c r="Q151" s="304">
        <f t="shared" ca="1" si="77"/>
        <v>1038.5683333333318</v>
      </c>
      <c r="R151" s="306">
        <f t="shared" ca="1" si="78"/>
        <v>0.51038545080447029</v>
      </c>
      <c r="S151" s="307">
        <f t="shared" ca="1" si="79"/>
        <v>8.0541640068715665</v>
      </c>
      <c r="T151" s="304">
        <f t="shared" ca="1" si="59"/>
        <v>79.011348907410067</v>
      </c>
      <c r="U151" s="311">
        <f t="shared" ca="1" si="60"/>
        <v>0</v>
      </c>
      <c r="V151" s="306">
        <f t="shared" ca="1" si="61"/>
        <v>1.2075983073066934</v>
      </c>
      <c r="W151" s="304">
        <f t="shared" ca="1" si="62"/>
        <v>149.01323498474778</v>
      </c>
      <c r="Y151" s="314" t="str">
        <f t="shared" ca="1" si="80"/>
        <v/>
      </c>
      <c r="Z151" s="315" t="str">
        <f t="shared" ca="1" si="81"/>
        <v/>
      </c>
      <c r="AA151" s="316" t="str">
        <f t="shared" ca="1" si="82"/>
        <v/>
      </c>
      <c r="AC151" s="310" t="e">
        <f t="shared" ca="1" si="83"/>
        <v>#N/A</v>
      </c>
      <c r="AD151" s="323" t="e">
        <f t="shared" ca="1" si="84"/>
        <v>#N/A</v>
      </c>
      <c r="AE151" s="324">
        <f t="shared" ca="1" si="63"/>
        <v>143.07082793766736</v>
      </c>
      <c r="AG151" s="306">
        <f t="shared" ca="1" si="85"/>
        <v>101.01672924914429</v>
      </c>
      <c r="AH151" s="304">
        <f t="shared" ca="1" si="86"/>
        <v>110.63603611637036</v>
      </c>
    </row>
    <row r="152" spans="1:34" x14ac:dyDescent="0.2">
      <c r="A152" s="347">
        <f t="shared" ca="1" si="64"/>
        <v>0.01</v>
      </c>
      <c r="B152" s="304">
        <f t="shared" ca="1" si="65"/>
        <v>1.4800000000000011</v>
      </c>
      <c r="D152" s="306">
        <f t="shared" ca="1" si="66"/>
        <v>21.417784266427077</v>
      </c>
      <c r="E152" s="307">
        <f t="shared" ca="1" si="67"/>
        <v>97.168719056942493</v>
      </c>
      <c r="F152" s="304">
        <f t="shared" ca="1" si="68"/>
        <v>99.50116303868127</v>
      </c>
      <c r="G152" s="306">
        <f t="shared" ca="1" si="69"/>
        <v>38.156824282261752</v>
      </c>
      <c r="H152" s="307">
        <f t="shared" ca="1" si="70"/>
        <v>190.48969069858276</v>
      </c>
      <c r="I152" s="304">
        <f t="shared" ca="1" si="71"/>
        <v>194.27368710597204</v>
      </c>
      <c r="J152" s="306">
        <f t="shared" ca="1" si="72"/>
        <v>28.041486648828272</v>
      </c>
      <c r="K152" s="307">
        <f t="shared" ca="1" si="73"/>
        <v>144.97086640870035</v>
      </c>
      <c r="L152" s="304">
        <f t="shared" ca="1" si="58"/>
        <v>147.65797330576379</v>
      </c>
      <c r="M152" s="306">
        <f t="shared" ca="1" si="74"/>
        <v>1.3731035439131367</v>
      </c>
      <c r="N152" s="304">
        <f t="shared" ca="1" si="75"/>
        <v>78.673037900679034</v>
      </c>
      <c r="P152" s="310">
        <f t="shared" ca="1" si="76"/>
        <v>14</v>
      </c>
      <c r="Q152" s="304">
        <f t="shared" ca="1" si="77"/>
        <v>1027.1849999999986</v>
      </c>
      <c r="R152" s="306">
        <f t="shared" ca="1" si="78"/>
        <v>0.50479131941367028</v>
      </c>
      <c r="S152" s="307">
        <f t="shared" ca="1" si="79"/>
        <v>8.04911609367743</v>
      </c>
      <c r="T152" s="304">
        <f t="shared" ca="1" si="59"/>
        <v>78.961828878975595</v>
      </c>
      <c r="U152" s="311">
        <f t="shared" ca="1" si="60"/>
        <v>0</v>
      </c>
      <c r="V152" s="306">
        <f t="shared" ca="1" si="61"/>
        <v>1.2073688688826267</v>
      </c>
      <c r="W152" s="304">
        <f t="shared" ca="1" si="62"/>
        <v>150.52255161123483</v>
      </c>
      <c r="Y152" s="314" t="str">
        <f t="shared" ca="1" si="80"/>
        <v/>
      </c>
      <c r="Z152" s="315" t="str">
        <f t="shared" ca="1" si="81"/>
        <v/>
      </c>
      <c r="AA152" s="316" t="str">
        <f t="shared" ca="1" si="82"/>
        <v/>
      </c>
      <c r="AC152" s="310" t="e">
        <f t="shared" ca="1" si="83"/>
        <v>#N/A</v>
      </c>
      <c r="AD152" s="323" t="e">
        <f t="shared" ca="1" si="84"/>
        <v>#N/A</v>
      </c>
      <c r="AE152" s="324">
        <f t="shared" ca="1" si="63"/>
        <v>144.97086640870035</v>
      </c>
      <c r="AG152" s="306">
        <f t="shared" ca="1" si="85"/>
        <v>99.48252470586327</v>
      </c>
      <c r="AH152" s="304">
        <f t="shared" ca="1" si="86"/>
        <v>109.101639831615</v>
      </c>
    </row>
    <row r="153" spans="1:34" x14ac:dyDescent="0.2">
      <c r="A153" s="347">
        <f t="shared" ca="1" si="64"/>
        <v>0.01</v>
      </c>
      <c r="B153" s="304">
        <f t="shared" ca="1" si="65"/>
        <v>1.4900000000000011</v>
      </c>
      <c r="D153" s="306">
        <f t="shared" ca="1" si="66"/>
        <v>21.126896153145751</v>
      </c>
      <c r="E153" s="307">
        <f t="shared" ca="1" si="67"/>
        <v>95.661458627249829</v>
      </c>
      <c r="F153" s="304">
        <f t="shared" ca="1" si="68"/>
        <v>97.966629051727793</v>
      </c>
      <c r="G153" s="306">
        <f t="shared" ca="1" si="69"/>
        <v>38.368093243793211</v>
      </c>
      <c r="H153" s="307">
        <f t="shared" ca="1" si="70"/>
        <v>191.44630528485527</v>
      </c>
      <c r="I153" s="304">
        <f t="shared" ca="1" si="71"/>
        <v>195.25316485626146</v>
      </c>
      <c r="J153" s="306">
        <f t="shared" ca="1" si="72"/>
        <v>28.424111236458547</v>
      </c>
      <c r="K153" s="307">
        <f t="shared" ca="1" si="73"/>
        <v>146.88054638861755</v>
      </c>
      <c r="L153" s="304">
        <f t="shared" ca="1" si="58"/>
        <v>149.60556475947476</v>
      </c>
      <c r="M153" s="306">
        <f t="shared" ca="1" si="74"/>
        <v>1.3730048639075592</v>
      </c>
      <c r="N153" s="304">
        <f t="shared" ca="1" si="75"/>
        <v>78.667383952837113</v>
      </c>
      <c r="P153" s="310">
        <f t="shared" ca="1" si="76"/>
        <v>14</v>
      </c>
      <c r="Q153" s="304">
        <f t="shared" ca="1" si="77"/>
        <v>1015.8016666666653</v>
      </c>
      <c r="R153" s="306">
        <f t="shared" ca="1" si="78"/>
        <v>0.49919718802287016</v>
      </c>
      <c r="S153" s="307">
        <f t="shared" ca="1" si="79"/>
        <v>8.0441241217972017</v>
      </c>
      <c r="T153" s="304">
        <f t="shared" ca="1" si="59"/>
        <v>78.912857634830559</v>
      </c>
      <c r="U153" s="311">
        <f t="shared" ca="1" si="60"/>
        <v>0</v>
      </c>
      <c r="V153" s="306">
        <f t="shared" ca="1" si="61"/>
        <v>1.2071383098081347</v>
      </c>
      <c r="W153" s="304">
        <f t="shared" ca="1" si="62"/>
        <v>152.01513507577295</v>
      </c>
      <c r="Y153" s="314" t="str">
        <f t="shared" ca="1" si="80"/>
        <v/>
      </c>
      <c r="Z153" s="315" t="str">
        <f t="shared" ca="1" si="81"/>
        <v/>
      </c>
      <c r="AA153" s="316" t="str">
        <f t="shared" ca="1" si="82"/>
        <v/>
      </c>
      <c r="AC153" s="310" t="e">
        <f t="shared" ca="1" si="83"/>
        <v>#N/A</v>
      </c>
      <c r="AD153" s="323" t="e">
        <f t="shared" ca="1" si="84"/>
        <v>#N/A</v>
      </c>
      <c r="AE153" s="324">
        <f t="shared" ca="1" si="63"/>
        <v>146.88054638861755</v>
      </c>
      <c r="AG153" s="306">
        <f t="shared" ca="1" si="85"/>
        <v>97.947679962678379</v>
      </c>
      <c r="AH153" s="304">
        <f t="shared" ca="1" si="86"/>
        <v>107.56660413913548</v>
      </c>
    </row>
    <row r="154" spans="1:34" x14ac:dyDescent="0.2">
      <c r="A154" s="347">
        <f t="shared" ca="1" si="64"/>
        <v>0.01</v>
      </c>
      <c r="B154" s="304">
        <f t="shared" ca="1" si="65"/>
        <v>1.5000000000000011</v>
      </c>
      <c r="D154" s="306">
        <f t="shared" ca="1" si="66"/>
        <v>20.835552223214041</v>
      </c>
      <c r="E154" s="307">
        <f t="shared" ca="1" si="67"/>
        <v>94.153714494706094</v>
      </c>
      <c r="F154" s="304">
        <f t="shared" ca="1" si="68"/>
        <v>96.431541466456437</v>
      </c>
      <c r="G154" s="306">
        <f t="shared" ca="1" si="69"/>
        <v>38.576448766025351</v>
      </c>
      <c r="H154" s="307">
        <f t="shared" ca="1" si="70"/>
        <v>192.38784242980233</v>
      </c>
      <c r="I154" s="304">
        <f t="shared" ca="1" si="71"/>
        <v>196.21728852013075</v>
      </c>
      <c r="J154" s="306">
        <f t="shared" ca="1" si="72"/>
        <v>28.80883394650764</v>
      </c>
      <c r="K154" s="307">
        <f t="shared" ca="1" si="73"/>
        <v>148.79971712719083</v>
      </c>
      <c r="L154" s="304">
        <f t="shared" ca="1" si="58"/>
        <v>151.56287385270002</v>
      </c>
      <c r="M154" s="306">
        <f t="shared" ca="1" si="74"/>
        <v>1.3729066203969937</v>
      </c>
      <c r="N154" s="304">
        <f t="shared" ca="1" si="75"/>
        <v>78.661755014317166</v>
      </c>
      <c r="P154" s="310">
        <f t="shared" ca="1" si="76"/>
        <v>14</v>
      </c>
      <c r="Q154" s="304">
        <f t="shared" ca="1" si="77"/>
        <v>1004.4183333333319</v>
      </c>
      <c r="R154" s="306">
        <f t="shared" ca="1" si="78"/>
        <v>0.49360305663207016</v>
      </c>
      <c r="S154" s="307">
        <f t="shared" ca="1" si="79"/>
        <v>8.0391880912308817</v>
      </c>
      <c r="T154" s="304">
        <f t="shared" ca="1" si="59"/>
        <v>78.864435174974957</v>
      </c>
      <c r="U154" s="311">
        <f t="shared" ca="1" si="60"/>
        <v>0</v>
      </c>
      <c r="V154" s="306">
        <f t="shared" ca="1" si="61"/>
        <v>1.2069066489279894</v>
      </c>
      <c r="W154" s="304">
        <f t="shared" ca="1" si="62"/>
        <v>153.49062429568471</v>
      </c>
      <c r="Y154" s="314" t="str">
        <f t="shared" ca="1" si="80"/>
        <v/>
      </c>
      <c r="Z154" s="315" t="str">
        <f t="shared" ca="1" si="81"/>
        <v/>
      </c>
      <c r="AA154" s="316" t="str">
        <f t="shared" ca="1" si="82"/>
        <v/>
      </c>
      <c r="AC154" s="310" t="e">
        <f t="shared" ca="1" si="83"/>
        <v>#N/A</v>
      </c>
      <c r="AD154" s="323" t="e">
        <f t="shared" ca="1" si="84"/>
        <v>#N/A</v>
      </c>
      <c r="AE154" s="324">
        <f t="shared" ca="1" si="63"/>
        <v>148.79971712719083</v>
      </c>
      <c r="AG154" s="306">
        <f t="shared" ca="1" si="85"/>
        <v>96.412271694550839</v>
      </c>
      <c r="AH154" s="304">
        <f t="shared" ca="1" si="86"/>
        <v>106.03100569165154</v>
      </c>
    </row>
    <row r="155" spans="1:34" x14ac:dyDescent="0.2">
      <c r="A155" s="347">
        <f t="shared" ca="1" si="64"/>
        <v>0.01</v>
      </c>
      <c r="B155" s="304">
        <f t="shared" ca="1" si="65"/>
        <v>1.5100000000000011</v>
      </c>
      <c r="D155" s="306">
        <f t="shared" ca="1" si="66"/>
        <v>20.543770512028672</v>
      </c>
      <c r="E155" s="307">
        <f t="shared" ca="1" si="67"/>
        <v>92.645560597456679</v>
      </c>
      <c r="F155" s="304">
        <f t="shared" ca="1" si="68"/>
        <v>94.895976760176268</v>
      </c>
      <c r="G155" s="306">
        <f t="shared" ca="1" si="69"/>
        <v>38.78188647114564</v>
      </c>
      <c r="H155" s="307">
        <f t="shared" ca="1" si="70"/>
        <v>193.31429803577689</v>
      </c>
      <c r="I155" s="304">
        <f t="shared" ca="1" si="71"/>
        <v>197.16605322247034</v>
      </c>
      <c r="J155" s="306">
        <f t="shared" ca="1" si="72"/>
        <v>29.195625622693495</v>
      </c>
      <c r="K155" s="307">
        <f t="shared" ca="1" si="73"/>
        <v>150.72822782951872</v>
      </c>
      <c r="L155" s="304">
        <f t="shared" ca="1" si="58"/>
        <v>153.52974702033407</v>
      </c>
      <c r="M155" s="306">
        <f t="shared" ca="1" si="74"/>
        <v>1.3728088017074611</v>
      </c>
      <c r="N155" s="304">
        <f t="shared" ca="1" si="75"/>
        <v>78.656150416249446</v>
      </c>
      <c r="P155" s="310">
        <f t="shared" ca="1" si="76"/>
        <v>14</v>
      </c>
      <c r="Q155" s="304">
        <f t="shared" ca="1" si="77"/>
        <v>993.03499999999849</v>
      </c>
      <c r="R155" s="306">
        <f t="shared" ca="1" si="78"/>
        <v>0.48800892524127004</v>
      </c>
      <c r="S155" s="307">
        <f t="shared" ca="1" si="79"/>
        <v>8.0343080019784683</v>
      </c>
      <c r="T155" s="304">
        <f t="shared" ca="1" si="59"/>
        <v>78.816561499408778</v>
      </c>
      <c r="U155" s="311">
        <f t="shared" ca="1" si="60"/>
        <v>0</v>
      </c>
      <c r="V155" s="306">
        <f t="shared" ca="1" si="61"/>
        <v>1.2066739050813902</v>
      </c>
      <c r="W155" s="304">
        <f t="shared" ca="1" si="62"/>
        <v>154.94866531186059</v>
      </c>
      <c r="Y155" s="314" t="str">
        <f t="shared" ca="1" si="80"/>
        <v/>
      </c>
      <c r="Z155" s="315" t="str">
        <f t="shared" ca="1" si="81"/>
        <v/>
      </c>
      <c r="AA155" s="316" t="str">
        <f t="shared" ca="1" si="82"/>
        <v/>
      </c>
      <c r="AC155" s="310" t="e">
        <f t="shared" ca="1" si="83"/>
        <v>#N/A</v>
      </c>
      <c r="AD155" s="323" t="e">
        <f t="shared" ca="1" si="84"/>
        <v>#N/A</v>
      </c>
      <c r="AE155" s="324">
        <f t="shared" ca="1" si="63"/>
        <v>150.72822782951872</v>
      </c>
      <c r="AG155" s="306">
        <f t="shared" ca="1" si="85"/>
        <v>94.87637590483024</v>
      </c>
      <c r="AH155" s="304">
        <f t="shared" ca="1" si="86"/>
        <v>104.49492047075789</v>
      </c>
    </row>
    <row r="156" spans="1:34" x14ac:dyDescent="0.2">
      <c r="A156" s="347">
        <f t="shared" ca="1" si="64"/>
        <v>0.01</v>
      </c>
      <c r="B156" s="304">
        <f t="shared" ca="1" si="65"/>
        <v>1.5200000000000011</v>
      </c>
      <c r="D156" s="306">
        <f t="shared" ca="1" si="66"/>
        <v>20.251568852282301</v>
      </c>
      <c r="E156" s="307">
        <f t="shared" ca="1" si="67"/>
        <v>91.13707021833298</v>
      </c>
      <c r="F156" s="304">
        <f t="shared" ca="1" si="68"/>
        <v>93.360010759211505</v>
      </c>
      <c r="G156" s="306">
        <f t="shared" ca="1" si="69"/>
        <v>38.984402159668463</v>
      </c>
      <c r="H156" s="307">
        <f t="shared" ca="1" si="70"/>
        <v>194.22566873796021</v>
      </c>
      <c r="I156" s="304">
        <f t="shared" ca="1" si="71"/>
        <v>198.09945484138672</v>
      </c>
      <c r="J156" s="306">
        <f t="shared" ca="1" si="72"/>
        <v>29.584457065847566</v>
      </c>
      <c r="K156" s="307">
        <f t="shared" ca="1" si="73"/>
        <v>152.66592766338741</v>
      </c>
      <c r="L156" s="304">
        <f t="shared" ca="1" si="58"/>
        <v>155.50603065220207</v>
      </c>
      <c r="M156" s="306">
        <f t="shared" ca="1" si="74"/>
        <v>1.3727113964238187</v>
      </c>
      <c r="N156" s="304">
        <f t="shared" ca="1" si="75"/>
        <v>78.650569504594458</v>
      </c>
      <c r="P156" s="310">
        <f t="shared" ca="1" si="76"/>
        <v>14</v>
      </c>
      <c r="Q156" s="304">
        <f t="shared" ca="1" si="77"/>
        <v>981.65166666666528</v>
      </c>
      <c r="R156" s="306">
        <f t="shared" ca="1" si="78"/>
        <v>0.48241479385047004</v>
      </c>
      <c r="S156" s="307">
        <f t="shared" ca="1" si="79"/>
        <v>8.0294838540399631</v>
      </c>
      <c r="T156" s="304">
        <f t="shared" ca="1" si="59"/>
        <v>78.769236608132047</v>
      </c>
      <c r="U156" s="311">
        <f t="shared" ca="1" si="60"/>
        <v>0</v>
      </c>
      <c r="V156" s="306">
        <f t="shared" ca="1" si="61"/>
        <v>1.2064400971009068</v>
      </c>
      <c r="W156" s="304">
        <f t="shared" ca="1" si="62"/>
        <v>156.38891130729493</v>
      </c>
      <c r="Y156" s="314" t="str">
        <f t="shared" ca="1" si="80"/>
        <v/>
      </c>
      <c r="Z156" s="315" t="str">
        <f t="shared" ca="1" si="81"/>
        <v/>
      </c>
      <c r="AA156" s="316" t="str">
        <f t="shared" ca="1" si="82"/>
        <v/>
      </c>
      <c r="AC156" s="310" t="e">
        <f t="shared" ca="1" si="83"/>
        <v>#N/A</v>
      </c>
      <c r="AD156" s="323" t="e">
        <f t="shared" ca="1" si="84"/>
        <v>#N/A</v>
      </c>
      <c r="AE156" s="324">
        <f t="shared" ca="1" si="63"/>
        <v>152.66592766338741</v>
      </c>
      <c r="AG156" s="306">
        <f t="shared" ca="1" si="85"/>
        <v>93.340067915346225</v>
      </c>
      <c r="AH156" s="304">
        <f t="shared" ca="1" si="86"/>
        <v>102.95842377699738</v>
      </c>
    </row>
    <row r="157" spans="1:34" x14ac:dyDescent="0.2">
      <c r="A157" s="347">
        <f t="shared" ca="1" si="64"/>
        <v>0.01</v>
      </c>
      <c r="B157" s="304">
        <f t="shared" ca="1" si="65"/>
        <v>1.5300000000000011</v>
      </c>
      <c r="D157" s="306">
        <f t="shared" ca="1" si="66"/>
        <v>19.958964874407854</v>
      </c>
      <c r="E157" s="307">
        <f t="shared" ca="1" si="67"/>
        <v>89.628315974993285</v>
      </c>
      <c r="F157" s="304">
        <f t="shared" ca="1" si="68"/>
        <v>91.823718631795145</v>
      </c>
      <c r="G157" s="306">
        <f t="shared" ca="1" si="69"/>
        <v>39.183991808412543</v>
      </c>
      <c r="H157" s="307">
        <f t="shared" ca="1" si="70"/>
        <v>195.12195189771015</v>
      </c>
      <c r="I157" s="304">
        <f t="shared" ca="1" si="71"/>
        <v>199.01749000129124</v>
      </c>
      <c r="J157" s="306">
        <f t="shared" ca="1" si="72"/>
        <v>29.975299035687971</v>
      </c>
      <c r="K157" s="307">
        <f t="shared" ca="1" si="73"/>
        <v>154.61266576656575</v>
      </c>
      <c r="L157" s="304">
        <f t="shared" ca="1" si="58"/>
        <v>157.49157110055984</v>
      </c>
      <c r="M157" s="306">
        <f t="shared" ca="1" si="74"/>
        <v>1.3726143933801007</v>
      </c>
      <c r="N157" s="304">
        <f t="shared" ca="1" si="75"/>
        <v>78.645011639589498</v>
      </c>
      <c r="P157" s="310">
        <f t="shared" ca="1" si="76"/>
        <v>14</v>
      </c>
      <c r="Q157" s="304">
        <f t="shared" ca="1" si="77"/>
        <v>970.26833333333184</v>
      </c>
      <c r="R157" s="306">
        <f t="shared" ca="1" si="78"/>
        <v>0.47682066245966992</v>
      </c>
      <c r="S157" s="307">
        <f t="shared" ca="1" si="79"/>
        <v>8.0247156474153662</v>
      </c>
      <c r="T157" s="304">
        <f t="shared" ca="1" si="59"/>
        <v>78.722460501144752</v>
      </c>
      <c r="U157" s="311">
        <f t="shared" ca="1" si="60"/>
        <v>0</v>
      </c>
      <c r="V157" s="306">
        <f t="shared" ca="1" si="61"/>
        <v>1.2062052438114332</v>
      </c>
      <c r="W157" s="304">
        <f t="shared" ca="1" si="62"/>
        <v>157.81102262354128</v>
      </c>
      <c r="Y157" s="314" t="str">
        <f t="shared" ca="1" si="80"/>
        <v/>
      </c>
      <c r="Z157" s="315" t="str">
        <f t="shared" ca="1" si="81"/>
        <v/>
      </c>
      <c r="AA157" s="316" t="str">
        <f t="shared" ca="1" si="82"/>
        <v/>
      </c>
      <c r="AC157" s="310" t="e">
        <f t="shared" ca="1" si="83"/>
        <v>#N/A</v>
      </c>
      <c r="AD157" s="323" t="e">
        <f t="shared" ca="1" si="84"/>
        <v>#N/A</v>
      </c>
      <c r="AE157" s="324">
        <f t="shared" ca="1" si="63"/>
        <v>154.61266576656575</v>
      </c>
      <c r="AG157" s="306">
        <f t="shared" ca="1" si="85"/>
        <v>91.803422356796133</v>
      </c>
      <c r="AH157" s="304">
        <f t="shared" ca="1" si="86"/>
        <v>101.42159022023098</v>
      </c>
    </row>
    <row r="158" spans="1:34" x14ac:dyDescent="0.2">
      <c r="A158" s="347">
        <f t="shared" ca="1" si="64"/>
        <v>0.01</v>
      </c>
      <c r="B158" s="304">
        <f t="shared" ca="1" si="65"/>
        <v>1.5400000000000011</v>
      </c>
      <c r="D158" s="306">
        <f t="shared" ca="1" si="66"/>
        <v>19.665976006966119</v>
      </c>
      <c r="E158" s="307">
        <f t="shared" ca="1" si="67"/>
        <v>88.119369810375773</v>
      </c>
      <c r="F158" s="304">
        <f t="shared" ca="1" si="68"/>
        <v>90.287174881509785</v>
      </c>
      <c r="G158" s="306">
        <f t="shared" ca="1" si="69"/>
        <v>39.380651568482207</v>
      </c>
      <c r="H158" s="307">
        <f t="shared" ca="1" si="70"/>
        <v>196.00314559581392</v>
      </c>
      <c r="I158" s="304">
        <f t="shared" ca="1" si="71"/>
        <v>199.92015606589555</v>
      </c>
      <c r="J158" s="306">
        <f t="shared" ca="1" si="72"/>
        <v>30.368122252572444</v>
      </c>
      <c r="K158" s="307">
        <f t="shared" ca="1" si="73"/>
        <v>156.56829125403337</v>
      </c>
      <c r="L158" s="304">
        <f t="shared" ca="1" si="58"/>
        <v>159.48621468752404</v>
      </c>
      <c r="M158" s="306">
        <f t="shared" ca="1" si="74"/>
        <v>1.372517781650259</v>
      </c>
      <c r="N158" s="304">
        <f t="shared" ca="1" si="75"/>
        <v>78.639476195218109</v>
      </c>
      <c r="P158" s="310">
        <f t="shared" ca="1" si="76"/>
        <v>14</v>
      </c>
      <c r="Q158" s="304">
        <f t="shared" ca="1" si="77"/>
        <v>958.88499999999851</v>
      </c>
      <c r="R158" s="306">
        <f t="shared" ca="1" si="78"/>
        <v>0.47122653106886986</v>
      </c>
      <c r="S158" s="307">
        <f t="shared" ca="1" si="79"/>
        <v>8.0200033821046777</v>
      </c>
      <c r="T158" s="304">
        <f t="shared" ca="1" si="59"/>
        <v>78.676233178446893</v>
      </c>
      <c r="U158" s="311">
        <f t="shared" ca="1" si="60"/>
        <v>0</v>
      </c>
      <c r="V158" s="306">
        <f t="shared" ca="1" si="61"/>
        <v>1.2059693640291527</v>
      </c>
      <c r="W158" s="304">
        <f t="shared" ca="1" si="62"/>
        <v>159.21466677511017</v>
      </c>
      <c r="Y158" s="314" t="str">
        <f t="shared" ca="1" si="80"/>
        <v/>
      </c>
      <c r="Z158" s="315" t="str">
        <f t="shared" ca="1" si="81"/>
        <v/>
      </c>
      <c r="AA158" s="316" t="str">
        <f t="shared" ca="1" si="82"/>
        <v/>
      </c>
      <c r="AC158" s="310" t="e">
        <f t="shared" ca="1" si="83"/>
        <v>#N/A</v>
      </c>
      <c r="AD158" s="323" t="e">
        <f t="shared" ca="1" si="84"/>
        <v>#N/A</v>
      </c>
      <c r="AE158" s="324">
        <f t="shared" ca="1" si="63"/>
        <v>156.56829125403337</v>
      </c>
      <c r="AG158" s="306">
        <f t="shared" ca="1" si="85"/>
        <v>90.266513159428925</v>
      </c>
      <c r="AH158" s="304">
        <f t="shared" ca="1" si="86"/>
        <v>99.884493710304724</v>
      </c>
    </row>
    <row r="159" spans="1:34" x14ac:dyDescent="0.2">
      <c r="A159" s="347">
        <f t="shared" ca="1" si="64"/>
        <v>0.01</v>
      </c>
      <c r="B159" s="304">
        <f t="shared" ca="1" si="65"/>
        <v>1.5500000000000012</v>
      </c>
      <c r="D159" s="306">
        <f t="shared" ca="1" si="66"/>
        <v>19.37261947698186</v>
      </c>
      <c r="E159" s="307">
        <f t="shared" ca="1" si="67"/>
        <v>86.610302983461381</v>
      </c>
      <c r="F159" s="304">
        <f t="shared" ca="1" si="68"/>
        <v>88.750453341303654</v>
      </c>
      <c r="G159" s="306">
        <f t="shared" ca="1" si="69"/>
        <v>39.574377763252023</v>
      </c>
      <c r="H159" s="307">
        <f t="shared" ca="1" si="70"/>
        <v>196.86924862564854</v>
      </c>
      <c r="I159" s="304">
        <f t="shared" ca="1" si="71"/>
        <v>200.80745113111712</v>
      </c>
      <c r="J159" s="306">
        <f t="shared" ca="1" si="72"/>
        <v>30.762897399231115</v>
      </c>
      <c r="K159" s="307">
        <f t="shared" ca="1" si="73"/>
        <v>158.53265322514068</v>
      </c>
      <c r="L159" s="304">
        <f t="shared" ca="1" si="58"/>
        <v>161.4898077124322</v>
      </c>
      <c r="M159" s="306">
        <f t="shared" ca="1" si="74"/>
        <v>1.3724215505392821</v>
      </c>
      <c r="N159" s="304">
        <f t="shared" ca="1" si="75"/>
        <v>78.63396255870127</v>
      </c>
      <c r="P159" s="310">
        <f t="shared" ca="1" si="76"/>
        <v>14</v>
      </c>
      <c r="Q159" s="304">
        <f t="shared" ca="1" si="77"/>
        <v>947.50166666666519</v>
      </c>
      <c r="R159" s="306">
        <f t="shared" ca="1" si="78"/>
        <v>0.46563239967806985</v>
      </c>
      <c r="S159" s="307">
        <f t="shared" ca="1" si="79"/>
        <v>8.0153470581078974</v>
      </c>
      <c r="T159" s="304">
        <f t="shared" ca="1" si="59"/>
        <v>78.630554640038483</v>
      </c>
      <c r="U159" s="311">
        <f t="shared" ca="1" si="60"/>
        <v>0</v>
      </c>
      <c r="V159" s="306">
        <f t="shared" ca="1" si="61"/>
        <v>1.2057324765605171</v>
      </c>
      <c r="W159" s="304">
        <f t="shared" ca="1" si="62"/>
        <v>160.59951846183378</v>
      </c>
      <c r="Y159" s="314" t="str">
        <f t="shared" ca="1" si="80"/>
        <v/>
      </c>
      <c r="Z159" s="315" t="str">
        <f t="shared" ca="1" si="81"/>
        <v/>
      </c>
      <c r="AA159" s="316" t="str">
        <f t="shared" ca="1" si="82"/>
        <v/>
      </c>
      <c r="AC159" s="310" t="e">
        <f t="shared" ca="1" si="83"/>
        <v>#N/A</v>
      </c>
      <c r="AD159" s="323" t="e">
        <f t="shared" ca="1" si="84"/>
        <v>#N/A</v>
      </c>
      <c r="AE159" s="324">
        <f t="shared" ca="1" si="63"/>
        <v>158.53265322514068</v>
      </c>
      <c r="AG159" s="306">
        <f t="shared" ca="1" si="85"/>
        <v>88.729413544024453</v>
      </c>
      <c r="AH159" s="304">
        <f t="shared" ca="1" si="86"/>
        <v>98.347207448012625</v>
      </c>
    </row>
    <row r="160" spans="1:34" x14ac:dyDescent="0.2">
      <c r="A160" s="347">
        <f t="shared" ca="1" si="64"/>
        <v>0.01</v>
      </c>
      <c r="B160" s="304">
        <f t="shared" ca="1" si="65"/>
        <v>1.5600000000000012</v>
      </c>
      <c r="D160" s="306">
        <f t="shared" ca="1" si="66"/>
        <v>18.688001287486049</v>
      </c>
      <c r="E160" s="307">
        <f t="shared" ca="1" si="67"/>
        <v>83.15653490781763</v>
      </c>
      <c r="F160" s="304">
        <f t="shared" ca="1" si="68"/>
        <v>85.230573681022307</v>
      </c>
      <c r="G160" s="306">
        <f t="shared" ca="1" si="69"/>
        <v>39.761257776126882</v>
      </c>
      <c r="H160" s="307">
        <f t="shared" ca="1" si="70"/>
        <v>197.70081397472671</v>
      </c>
      <c r="I160" s="304">
        <f t="shared" ca="1" si="71"/>
        <v>201.65953849547782</v>
      </c>
      <c r="J160" s="306">
        <f t="shared" ca="1" si="72"/>
        <v>31.15957557692801</v>
      </c>
      <c r="K160" s="307">
        <f t="shared" ca="1" si="73"/>
        <v>160.50550353814256</v>
      </c>
      <c r="L160" s="304">
        <f t="shared" ca="1" si="58"/>
        <v>163.50209728369538</v>
      </c>
      <c r="M160" s="306">
        <f t="shared" ca="1" si="74"/>
        <v>1.3723256801456511</v>
      </c>
      <c r="N160" s="304">
        <f t="shared" ca="1" si="75"/>
        <v>78.62846958976597</v>
      </c>
      <c r="P160" s="310">
        <f t="shared" ca="1" si="76"/>
        <v>15</v>
      </c>
      <c r="Q160" s="304">
        <f t="shared" ca="1" si="77"/>
        <v>920.23599999999465</v>
      </c>
      <c r="R160" s="306">
        <f t="shared" ca="1" si="78"/>
        <v>0.45223318546508778</v>
      </c>
      <c r="S160" s="307">
        <f t="shared" ca="1" si="79"/>
        <v>8.0108247262532473</v>
      </c>
      <c r="T160" s="304">
        <f t="shared" ca="1" si="59"/>
        <v>78.586190564544353</v>
      </c>
      <c r="U160" s="311">
        <f t="shared" ca="1" si="60"/>
        <v>0</v>
      </c>
      <c r="V160" s="306">
        <f t="shared" ca="1" si="61"/>
        <v>1.2054946119233254</v>
      </c>
      <c r="W160" s="304">
        <f t="shared" ca="1" si="62"/>
        <v>161.93340358221258</v>
      </c>
      <c r="Y160" s="314" t="str">
        <f t="shared" ca="1" si="80"/>
        <v/>
      </c>
      <c r="Z160" s="315" t="str">
        <f t="shared" ca="1" si="81"/>
        <v/>
      </c>
      <c r="AA160" s="316" t="str">
        <f t="shared" ca="1" si="82"/>
        <v/>
      </c>
      <c r="AC160" s="310" t="e">
        <f t="shared" ca="1" si="83"/>
        <v>#N/A</v>
      </c>
      <c r="AD160" s="323" t="e">
        <f t="shared" ca="1" si="84"/>
        <v>#N/A</v>
      </c>
      <c r="AE160" s="324">
        <f t="shared" ca="1" si="63"/>
        <v>160.50550353814256</v>
      </c>
      <c r="AG160" s="306">
        <f t="shared" ca="1" si="85"/>
        <v>85.208643762095107</v>
      </c>
      <c r="AH160" s="304">
        <f t="shared" ca="1" si="86"/>
        <v>94.826251665282825</v>
      </c>
    </row>
    <row r="161" spans="1:34" x14ac:dyDescent="0.2">
      <c r="A161" s="347">
        <f t="shared" ca="1" si="64"/>
        <v>0.01</v>
      </c>
      <c r="B161" s="304">
        <f t="shared" ca="1" si="65"/>
        <v>1.5700000000000012</v>
      </c>
      <c r="D161" s="306">
        <f t="shared" ca="1" si="66"/>
        <v>17.611558442257611</v>
      </c>
      <c r="E161" s="307">
        <f t="shared" ca="1" si="67"/>
        <v>77.758141304833799</v>
      </c>
      <c r="F161" s="304">
        <f t="shared" ca="1" si="68"/>
        <v>79.727633414943128</v>
      </c>
      <c r="G161" s="306">
        <f t="shared" ca="1" si="69"/>
        <v>39.937373360549458</v>
      </c>
      <c r="H161" s="307">
        <f t="shared" ca="1" si="70"/>
        <v>198.47839538777504</v>
      </c>
      <c r="I161" s="304">
        <f t="shared" ca="1" si="71"/>
        <v>202.45658108998552</v>
      </c>
      <c r="J161" s="306">
        <f t="shared" ca="1" si="72"/>
        <v>31.558068732611392</v>
      </c>
      <c r="K161" s="307">
        <f t="shared" ca="1" si="73"/>
        <v>162.48639958495508</v>
      </c>
      <c r="L161" s="304">
        <f t="shared" ca="1" si="58"/>
        <v>165.52263214501488</v>
      </c>
      <c r="M161" s="306">
        <f t="shared" ca="1" si="74"/>
        <v>1.3722301416376887</v>
      </c>
      <c r="N161" s="304">
        <f t="shared" ca="1" si="75"/>
        <v>78.622995636478748</v>
      </c>
      <c r="P161" s="310">
        <f t="shared" ca="1" si="76"/>
        <v>15</v>
      </c>
      <c r="Q161" s="304">
        <f t="shared" ca="1" si="77"/>
        <v>877.08799999999474</v>
      </c>
      <c r="R161" s="306">
        <f t="shared" ca="1" si="78"/>
        <v>0.43102888842992759</v>
      </c>
      <c r="S161" s="307">
        <f t="shared" ca="1" si="79"/>
        <v>8.0065144373689474</v>
      </c>
      <c r="T161" s="304">
        <f t="shared" ca="1" si="59"/>
        <v>78.543906630589376</v>
      </c>
      <c r="U161" s="311">
        <f t="shared" ca="1" si="60"/>
        <v>0</v>
      </c>
      <c r="V161" s="306">
        <f t="shared" ca="1" si="61"/>
        <v>1.2052558240539553</v>
      </c>
      <c r="W161" s="304">
        <f t="shared" ca="1" si="62"/>
        <v>163.18365962899097</v>
      </c>
      <c r="Y161" s="314" t="str">
        <f t="shared" ca="1" si="80"/>
        <v/>
      </c>
      <c r="Z161" s="315" t="str">
        <f t="shared" ca="1" si="81"/>
        <v/>
      </c>
      <c r="AA161" s="316" t="str">
        <f t="shared" ca="1" si="82"/>
        <v/>
      </c>
      <c r="AC161" s="310" t="e">
        <f t="shared" ca="1" si="83"/>
        <v>#N/A</v>
      </c>
      <c r="AD161" s="323" t="e">
        <f t="shared" ca="1" si="84"/>
        <v>#N/A</v>
      </c>
      <c r="AE161" s="324">
        <f t="shared" ca="1" si="63"/>
        <v>162.48639958495508</v>
      </c>
      <c r="AG161" s="306">
        <f t="shared" ca="1" si="85"/>
        <v>79.704167053569961</v>
      </c>
      <c r="AH161" s="304">
        <f t="shared" ca="1" si="86"/>
        <v>89.321589564608587</v>
      </c>
    </row>
    <row r="162" spans="1:34" x14ac:dyDescent="0.2">
      <c r="A162" s="347">
        <f t="shared" ca="1" si="64"/>
        <v>0.01</v>
      </c>
      <c r="B162" s="304">
        <f t="shared" ca="1" si="65"/>
        <v>1.5800000000000012</v>
      </c>
      <c r="D162" s="306">
        <f t="shared" ca="1" si="66"/>
        <v>16.534507057335865</v>
      </c>
      <c r="E162" s="307">
        <f t="shared" ca="1" si="67"/>
        <v>72.362214973696908</v>
      </c>
      <c r="F162" s="304">
        <f t="shared" ca="1" si="68"/>
        <v>74.227219263075014</v>
      </c>
      <c r="G162" s="306">
        <f t="shared" ca="1" si="69"/>
        <v>40.102718431122817</v>
      </c>
      <c r="H162" s="307">
        <f t="shared" ca="1" si="70"/>
        <v>199.20201753751201</v>
      </c>
      <c r="I162" s="304">
        <f t="shared" ca="1" si="71"/>
        <v>203.19860190606914</v>
      </c>
      <c r="J162" s="306">
        <f t="shared" ca="1" si="72"/>
        <v>31.958269191569755</v>
      </c>
      <c r="K162" s="307">
        <f t="shared" ca="1" si="73"/>
        <v>164.47480164958151</v>
      </c>
      <c r="L162" s="304">
        <f t="shared" ca="1" si="58"/>
        <v>167.55086197149214</v>
      </c>
      <c r="M162" s="306">
        <f t="shared" ca="1" si="74"/>
        <v>1.3721349067898281</v>
      </c>
      <c r="N162" s="304">
        <f t="shared" ca="1" si="75"/>
        <v>78.617539081633751</v>
      </c>
      <c r="P162" s="310">
        <f t="shared" ca="1" si="76"/>
        <v>15</v>
      </c>
      <c r="Q162" s="304">
        <f t="shared" ca="1" si="77"/>
        <v>833.93999999999471</v>
      </c>
      <c r="R162" s="306">
        <f t="shared" ca="1" si="78"/>
        <v>0.40982459139476735</v>
      </c>
      <c r="S162" s="307">
        <f t="shared" ca="1" si="79"/>
        <v>8.0024161914549996</v>
      </c>
      <c r="T162" s="304">
        <f t="shared" ca="1" si="59"/>
        <v>78.503702838173552</v>
      </c>
      <c r="U162" s="311">
        <f t="shared" ca="1" si="60"/>
        <v>0</v>
      </c>
      <c r="V162" s="306">
        <f t="shared" ca="1" si="61"/>
        <v>1.2050161785513742</v>
      </c>
      <c r="W162" s="304">
        <f t="shared" ca="1" si="62"/>
        <v>164.34933131276475</v>
      </c>
      <c r="Y162" s="314" t="str">
        <f t="shared" ca="1" si="80"/>
        <v/>
      </c>
      <c r="Z162" s="315" t="str">
        <f t="shared" ca="1" si="81"/>
        <v/>
      </c>
      <c r="AA162" s="316" t="str">
        <f t="shared" ca="1" si="82"/>
        <v/>
      </c>
      <c r="AC162" s="310" t="e">
        <f t="shared" ca="1" si="83"/>
        <v>#N/A</v>
      </c>
      <c r="AD162" s="323" t="e">
        <f t="shared" ca="1" si="84"/>
        <v>#N/A</v>
      </c>
      <c r="AE162" s="324">
        <f t="shared" ca="1" si="63"/>
        <v>164.47480164958151</v>
      </c>
      <c r="AG162" s="306">
        <f t="shared" ca="1" si="85"/>
        <v>74.201989461083244</v>
      </c>
      <c r="AH162" s="304">
        <f t="shared" ca="1" si="86"/>
        <v>83.819227133829784</v>
      </c>
    </row>
    <row r="163" spans="1:34" x14ac:dyDescent="0.2">
      <c r="A163" s="347">
        <f t="shared" ca="1" si="64"/>
        <v>0.01</v>
      </c>
      <c r="B163" s="304">
        <f t="shared" ca="1" si="65"/>
        <v>1.5900000000000012</v>
      </c>
      <c r="D163" s="306">
        <f t="shared" ca="1" si="66"/>
        <v>15.456965981675079</v>
      </c>
      <c r="E163" s="307">
        <f t="shared" ca="1" si="67"/>
        <v>66.969303972789476</v>
      </c>
      <c r="F163" s="304">
        <f t="shared" ca="1" si="68"/>
        <v>68.729945962138927</v>
      </c>
      <c r="G163" s="306">
        <f t="shared" ca="1" si="69"/>
        <v>40.257288090939568</v>
      </c>
      <c r="H163" s="307">
        <f t="shared" ca="1" si="70"/>
        <v>199.8717105772399</v>
      </c>
      <c r="I163" s="304">
        <f t="shared" ca="1" si="71"/>
        <v>203.88562954143887</v>
      </c>
      <c r="J163" s="306">
        <f t="shared" ca="1" si="72"/>
        <v>32.360069224180066</v>
      </c>
      <c r="K163" s="307">
        <f t="shared" ca="1" si="73"/>
        <v>166.47017029015527</v>
      </c>
      <c r="L163" s="304">
        <f t="shared" ca="1" si="58"/>
        <v>169.58623669575022</v>
      </c>
      <c r="M163" s="306">
        <f t="shared" ca="1" si="74"/>
        <v>1.3720399479305141</v>
      </c>
      <c r="N163" s="304">
        <f t="shared" ca="1" si="75"/>
        <v>78.612098339767684</v>
      </c>
      <c r="P163" s="310">
        <f t="shared" ca="1" si="76"/>
        <v>15</v>
      </c>
      <c r="Q163" s="304">
        <f t="shared" ca="1" si="77"/>
        <v>790.7919999999948</v>
      </c>
      <c r="R163" s="306">
        <f t="shared" ca="1" si="78"/>
        <v>0.3886202943596071</v>
      </c>
      <c r="S163" s="307">
        <f t="shared" ca="1" si="79"/>
        <v>7.9985299885114038</v>
      </c>
      <c r="T163" s="304">
        <f t="shared" ca="1" si="59"/>
        <v>78.465579187296882</v>
      </c>
      <c r="U163" s="311">
        <f t="shared" ca="1" si="60"/>
        <v>0</v>
      </c>
      <c r="V163" s="306">
        <f t="shared" ca="1" si="61"/>
        <v>1.2047757409320081</v>
      </c>
      <c r="W163" s="304">
        <f t="shared" ca="1" si="62"/>
        <v>165.42954671174039</v>
      </c>
      <c r="Y163" s="314" t="str">
        <f t="shared" ca="1" si="80"/>
        <v/>
      </c>
      <c r="Z163" s="315" t="str">
        <f t="shared" ca="1" si="81"/>
        <v/>
      </c>
      <c r="AA163" s="316" t="str">
        <f t="shared" ca="1" si="82"/>
        <v/>
      </c>
      <c r="AC163" s="310" t="e">
        <f t="shared" ca="1" si="83"/>
        <v>#N/A</v>
      </c>
      <c r="AD163" s="323" t="e">
        <f t="shared" ca="1" si="84"/>
        <v>#N/A</v>
      </c>
      <c r="AE163" s="324">
        <f t="shared" ca="1" si="63"/>
        <v>166.47017029015527</v>
      </c>
      <c r="AG163" s="306">
        <f t="shared" ca="1" si="85"/>
        <v>68.702671613254708</v>
      </c>
      <c r="AH163" s="304">
        <f t="shared" ca="1" si="86"/>
        <v>78.31972494783588</v>
      </c>
    </row>
    <row r="164" spans="1:34" x14ac:dyDescent="0.2">
      <c r="A164" s="347">
        <f t="shared" ca="1" si="64"/>
        <v>0.01</v>
      </c>
      <c r="B164" s="304">
        <f t="shared" ca="1" si="65"/>
        <v>1.6000000000000012</v>
      </c>
      <c r="D164" s="306">
        <f t="shared" ca="1" si="66"/>
        <v>14.379051692115539</v>
      </c>
      <c r="E164" s="307">
        <f t="shared" ca="1" si="67"/>
        <v>61.579946875942468</v>
      </c>
      <c r="F164" s="304">
        <f t="shared" ca="1" si="68"/>
        <v>63.236437160931416</v>
      </c>
      <c r="G164" s="306">
        <f t="shared" ca="1" si="69"/>
        <v>40.401078607860725</v>
      </c>
      <c r="H164" s="307">
        <f t="shared" ca="1" si="70"/>
        <v>200.48751004599933</v>
      </c>
      <c r="I164" s="304">
        <f t="shared" ca="1" si="71"/>
        <v>204.51769810244596</v>
      </c>
      <c r="J164" s="306">
        <f t="shared" ca="1" si="72"/>
        <v>32.763361057674068</v>
      </c>
      <c r="K164" s="307">
        <f t="shared" ca="1" si="73"/>
        <v>168.47196639327146</v>
      </c>
      <c r="L164" s="304">
        <f t="shared" ca="1" si="58"/>
        <v>171.62820656352235</v>
      </c>
      <c r="M164" s="306">
        <f t="shared" ca="1" si="74"/>
        <v>1.3719452378924677</v>
      </c>
      <c r="N164" s="304">
        <f t="shared" ca="1" si="75"/>
        <v>78.606671854310108</v>
      </c>
      <c r="P164" s="310">
        <f t="shared" ca="1" si="76"/>
        <v>15</v>
      </c>
      <c r="Q164" s="304">
        <f t="shared" ca="1" si="77"/>
        <v>747.64399999999478</v>
      </c>
      <c r="R164" s="306">
        <f t="shared" ca="1" si="78"/>
        <v>0.36741599732444685</v>
      </c>
      <c r="S164" s="307">
        <f t="shared" ca="1" si="79"/>
        <v>7.9948558285381592</v>
      </c>
      <c r="T164" s="304">
        <f t="shared" ca="1" si="59"/>
        <v>78.42953567795935</v>
      </c>
      <c r="U164" s="311">
        <f t="shared" ca="1" si="60"/>
        <v>0</v>
      </c>
      <c r="V164" s="306">
        <f t="shared" ca="1" si="61"/>
        <v>1.2045345766227959</v>
      </c>
      <c r="W164" s="304">
        <f t="shared" ca="1" si="62"/>
        <v>166.42351703077804</v>
      </c>
      <c r="Y164" s="314" t="str">
        <f t="shared" ca="1" si="80"/>
        <v/>
      </c>
      <c r="Z164" s="315" t="str">
        <f t="shared" ca="1" si="81"/>
        <v/>
      </c>
      <c r="AA164" s="316" t="str">
        <f t="shared" ca="1" si="82"/>
        <v/>
      </c>
      <c r="AC164" s="310" t="e">
        <f t="shared" ca="1" si="83"/>
        <v>#N/A</v>
      </c>
      <c r="AD164" s="323" t="e">
        <f t="shared" ca="1" si="84"/>
        <v>#N/A</v>
      </c>
      <c r="AE164" s="324">
        <f t="shared" ca="1" si="63"/>
        <v>168.47196639327146</v>
      </c>
      <c r="AG164" s="306">
        <f t="shared" ca="1" si="85"/>
        <v>63.206764374607239</v>
      </c>
      <c r="AH164" s="304">
        <f t="shared" ca="1" si="86"/>
        <v>72.823633818386313</v>
      </c>
    </row>
    <row r="165" spans="1:34" x14ac:dyDescent="0.2">
      <c r="A165" s="347">
        <f t="shared" ca="1" si="64"/>
        <v>0.01</v>
      </c>
      <c r="B165" s="304">
        <f t="shared" ca="1" si="65"/>
        <v>1.6100000000000012</v>
      </c>
      <c r="D165" s="306">
        <f t="shared" ca="1" si="66"/>
        <v>12.802597153174366</v>
      </c>
      <c r="E165" s="307">
        <f t="shared" ca="1" si="67"/>
        <v>53.721987605462594</v>
      </c>
      <c r="F165" s="304">
        <f t="shared" ca="1" si="68"/>
        <v>55.226428873755225</v>
      </c>
      <c r="G165" s="306">
        <f t="shared" ca="1" si="69"/>
        <v>40.529104579392467</v>
      </c>
      <c r="H165" s="307">
        <f t="shared" ca="1" si="70"/>
        <v>201.02472992205395</v>
      </c>
      <c r="I165" s="304">
        <f t="shared" ca="1" si="71"/>
        <v>205.06962319720117</v>
      </c>
      <c r="J165" s="306">
        <f t="shared" ca="1" si="72"/>
        <v>33.168011973610334</v>
      </c>
      <c r="K165" s="307">
        <f t="shared" ca="1" si="73"/>
        <v>170.47952759311173</v>
      </c>
      <c r="L165" s="304">
        <f t="shared" ca="1" si="58"/>
        <v>173.67609607154375</v>
      </c>
      <c r="M165" s="306">
        <f t="shared" ca="1" si="74"/>
        <v>1.3718507383428999</v>
      </c>
      <c r="N165" s="304">
        <f t="shared" ca="1" si="75"/>
        <v>78.601257428953986</v>
      </c>
      <c r="P165" s="310">
        <f t="shared" ca="1" si="76"/>
        <v>16</v>
      </c>
      <c r="Q165" s="304">
        <f t="shared" ca="1" si="77"/>
        <v>684.3449999999898</v>
      </c>
      <c r="R165" s="306">
        <f t="shared" ca="1" si="78"/>
        <v>0.33630885914819969</v>
      </c>
      <c r="S165" s="307">
        <f t="shared" ca="1" si="79"/>
        <v>7.9914927399466773</v>
      </c>
      <c r="T165" s="304">
        <f t="shared" ca="1" si="59"/>
        <v>78.396543778876904</v>
      </c>
      <c r="U165" s="311">
        <f t="shared" ca="1" si="60"/>
        <v>0</v>
      </c>
      <c r="V165" s="306">
        <f t="shared" ca="1" si="61"/>
        <v>1.204292765844672</v>
      </c>
      <c r="W165" s="304">
        <f t="shared" ca="1" si="62"/>
        <v>167.28938210557862</v>
      </c>
      <c r="Y165" s="314" t="str">
        <f t="shared" ca="1" si="80"/>
        <v/>
      </c>
      <c r="Z165" s="315" t="str">
        <f t="shared" ca="1" si="81"/>
        <v/>
      </c>
      <c r="AA165" s="316" t="str">
        <f t="shared" ca="1" si="82"/>
        <v/>
      </c>
      <c r="AC165" s="310" t="e">
        <f t="shared" ca="1" si="83"/>
        <v>#N/A</v>
      </c>
      <c r="AD165" s="323" t="e">
        <f t="shared" ca="1" si="84"/>
        <v>#N/A</v>
      </c>
      <c r="AE165" s="324">
        <f t="shared" ca="1" si="63"/>
        <v>170.47952759311173</v>
      </c>
      <c r="AG165" s="306">
        <f t="shared" ca="1" si="85"/>
        <v>55.192417910244458</v>
      </c>
      <c r="AH165" s="304">
        <f t="shared" ca="1" si="86"/>
        <v>64.809103858695053</v>
      </c>
    </row>
    <row r="166" spans="1:34" x14ac:dyDescent="0.2">
      <c r="A166" s="347">
        <f t="shared" ca="1" si="64"/>
        <v>0.01</v>
      </c>
      <c r="B166" s="304">
        <f t="shared" ca="1" si="65"/>
        <v>1.6200000000000012</v>
      </c>
      <c r="D166" s="306">
        <f t="shared" ca="1" si="66"/>
        <v>10.727367900406698</v>
      </c>
      <c r="E166" s="307">
        <f t="shared" ca="1" si="67"/>
        <v>43.397843038561703</v>
      </c>
      <c r="F166" s="304">
        <f t="shared" ca="1" si="68"/>
        <v>44.70401774416159</v>
      </c>
      <c r="G166" s="306">
        <f t="shared" ca="1" si="69"/>
        <v>40.636378258396533</v>
      </c>
      <c r="H166" s="307">
        <f t="shared" ca="1" si="70"/>
        <v>201.45870835243957</v>
      </c>
      <c r="I166" s="304">
        <f t="shared" ca="1" si="71"/>
        <v>205.51624366213196</v>
      </c>
      <c r="J166" s="306">
        <f t="shared" ca="1" si="72"/>
        <v>33.573839387799282</v>
      </c>
      <c r="K166" s="307">
        <f t="shared" ca="1" si="73"/>
        <v>172.49194478448419</v>
      </c>
      <c r="L166" s="304">
        <f t="shared" ca="1" si="58"/>
        <v>175.72897799387351</v>
      </c>
      <c r="M166" s="306">
        <f t="shared" ca="1" si="74"/>
        <v>1.3717563999377453</v>
      </c>
      <c r="N166" s="304">
        <f t="shared" ca="1" si="75"/>
        <v>78.595852236492632</v>
      </c>
      <c r="P166" s="310">
        <f t="shared" ca="1" si="76"/>
        <v>16</v>
      </c>
      <c r="Q166" s="304">
        <f t="shared" ca="1" si="77"/>
        <v>600.89499999998975</v>
      </c>
      <c r="R166" s="306">
        <f t="shared" ca="1" si="78"/>
        <v>0.29529887983087039</v>
      </c>
      <c r="S166" s="307">
        <f t="shared" ca="1" si="79"/>
        <v>7.9885397511483687</v>
      </c>
      <c r="T166" s="304">
        <f t="shared" ca="1" si="59"/>
        <v>78.367574958765502</v>
      </c>
      <c r="U166" s="311">
        <f t="shared" ca="1" si="60"/>
        <v>0</v>
      </c>
      <c r="V166" s="306">
        <f t="shared" ca="1" si="61"/>
        <v>1.2040504184669536</v>
      </c>
      <c r="W166" s="304">
        <f t="shared" ca="1" si="62"/>
        <v>167.98504211345482</v>
      </c>
      <c r="Y166" s="314" t="str">
        <f t="shared" ca="1" si="80"/>
        <v/>
      </c>
      <c r="Z166" s="315" t="str">
        <f t="shared" ca="1" si="81"/>
        <v/>
      </c>
      <c r="AA166" s="316" t="str">
        <f t="shared" ca="1" si="82"/>
        <v/>
      </c>
      <c r="AC166" s="310" t="e">
        <f t="shared" ca="1" si="83"/>
        <v>#N/A</v>
      </c>
      <c r="AD166" s="323" t="e">
        <f t="shared" ca="1" si="84"/>
        <v>#N/A</v>
      </c>
      <c r="AE166" s="324">
        <f t="shared" ca="1" si="63"/>
        <v>172.49194478448419</v>
      </c>
      <c r="AG166" s="306">
        <f t="shared" ca="1" si="85"/>
        <v>44.661955041075821</v>
      </c>
      <c r="AH166" s="304">
        <f t="shared" ca="1" si="86"/>
        <v>54.278457816033203</v>
      </c>
    </row>
    <row r="167" spans="1:34" x14ac:dyDescent="0.2">
      <c r="A167" s="347">
        <f t="shared" ca="1" si="64"/>
        <v>0.01</v>
      </c>
      <c r="B167" s="304">
        <f t="shared" ca="1" si="65"/>
        <v>1.6300000000000012</v>
      </c>
      <c r="D167" s="306">
        <f t="shared" ca="1" si="66"/>
        <v>8.6999589835369857</v>
      </c>
      <c r="E167" s="307">
        <f t="shared" ca="1" si="67"/>
        <v>33.320873730864875</v>
      </c>
      <c r="F167" s="304">
        <f t="shared" ca="1" si="68"/>
        <v>34.4379138814108</v>
      </c>
      <c r="G167" s="306">
        <f t="shared" ca="1" si="69"/>
        <v>40.723377848231905</v>
      </c>
      <c r="H167" s="307">
        <f t="shared" ca="1" si="70"/>
        <v>201.79191708974821</v>
      </c>
      <c r="I167" s="304">
        <f t="shared" ca="1" si="71"/>
        <v>205.86007700893751</v>
      </c>
      <c r="J167" s="306">
        <f t="shared" ca="1" si="72"/>
        <v>33.980638168332426</v>
      </c>
      <c r="K167" s="307">
        <f t="shared" ca="1" si="73"/>
        <v>174.50819791169513</v>
      </c>
      <c r="L167" s="304">
        <f t="shared" ca="1" si="58"/>
        <v>177.78581188811015</v>
      </c>
      <c r="M167" s="306">
        <f t="shared" ca="1" si="74"/>
        <v>1.3716621750306566</v>
      </c>
      <c r="N167" s="304">
        <f t="shared" ca="1" si="75"/>
        <v>78.590453546991426</v>
      </c>
      <c r="P167" s="310">
        <f t="shared" ca="1" si="76"/>
        <v>17</v>
      </c>
      <c r="Q167" s="304">
        <f t="shared" ca="1" si="77"/>
        <v>519.36499999998978</v>
      </c>
      <c r="R167" s="306">
        <f t="shared" ca="1" si="78"/>
        <v>0.25523244946847556</v>
      </c>
      <c r="S167" s="307">
        <f t="shared" ca="1" si="79"/>
        <v>7.9859874266536837</v>
      </c>
      <c r="T167" s="304">
        <f t="shared" ca="1" si="59"/>
        <v>78.342536655472642</v>
      </c>
      <c r="U167" s="311">
        <f t="shared" ca="1" si="60"/>
        <v>0</v>
      </c>
      <c r="V167" s="306">
        <f t="shared" ca="1" si="61"/>
        <v>1.2038076576296464</v>
      </c>
      <c r="W167" s="304">
        <f t="shared" ca="1" si="62"/>
        <v>168.51361529802452</v>
      </c>
      <c r="Y167" s="314" t="str">
        <f t="shared" ca="1" si="80"/>
        <v/>
      </c>
      <c r="Z167" s="315" t="str">
        <f t="shared" ca="1" si="81"/>
        <v/>
      </c>
      <c r="AA167" s="316" t="str">
        <f t="shared" ca="1" si="82"/>
        <v/>
      </c>
      <c r="AC167" s="310" t="e">
        <f t="shared" ca="1" si="83"/>
        <v>#N/A</v>
      </c>
      <c r="AD167" s="323" t="e">
        <f t="shared" ca="1" si="84"/>
        <v>#N/A</v>
      </c>
      <c r="AE167" s="324">
        <f t="shared" ca="1" si="63"/>
        <v>174.50819791169513</v>
      </c>
      <c r="AG167" s="306">
        <f t="shared" ca="1" si="85"/>
        <v>34.383243295840472</v>
      </c>
      <c r="AH167" s="304">
        <f t="shared" ca="1" si="86"/>
        <v>43.999563124001988</v>
      </c>
    </row>
    <row r="168" spans="1:34" x14ac:dyDescent="0.2">
      <c r="A168" s="347">
        <f t="shared" ca="1" si="64"/>
        <v>0.01</v>
      </c>
      <c r="B168" s="304">
        <f t="shared" ca="1" si="65"/>
        <v>1.6400000000000012</v>
      </c>
      <c r="D168" s="306">
        <f t="shared" ca="1" si="66"/>
        <v>6.720731332893898</v>
      </c>
      <c r="E168" s="307">
        <f t="shared" ca="1" si="67"/>
        <v>23.49247468577019</v>
      </c>
      <c r="F168" s="304">
        <f t="shared" ca="1" si="68"/>
        <v>24.434905289574893</v>
      </c>
      <c r="G168" s="306">
        <f t="shared" ca="1" si="69"/>
        <v>40.790585161560841</v>
      </c>
      <c r="H168" s="307">
        <f t="shared" ca="1" si="70"/>
        <v>202.02684183660591</v>
      </c>
      <c r="I168" s="304">
        <f t="shared" ca="1" si="71"/>
        <v>206.10365513569994</v>
      </c>
      <c r="J168" s="306">
        <f t="shared" ca="1" si="72"/>
        <v>34.388207983381392</v>
      </c>
      <c r="K168" s="307">
        <f t="shared" ca="1" si="73"/>
        <v>176.52729170632691</v>
      </c>
      <c r="L168" s="304">
        <f t="shared" ca="1" si="58"/>
        <v>179.84558255759003</v>
      </c>
      <c r="M168" s="306">
        <f t="shared" ca="1" si="74"/>
        <v>1.3715680175180258</v>
      </c>
      <c r="N168" s="304">
        <f t="shared" ca="1" si="75"/>
        <v>78.585058718908243</v>
      </c>
      <c r="P168" s="310">
        <f t="shared" ca="1" si="76"/>
        <v>17</v>
      </c>
      <c r="Q168" s="304">
        <f t="shared" ca="1" si="77"/>
        <v>439.75499999998891</v>
      </c>
      <c r="R168" s="306">
        <f t="shared" ca="1" si="78"/>
        <v>0.21610956806101458</v>
      </c>
      <c r="S168" s="307">
        <f t="shared" ca="1" si="79"/>
        <v>7.9838263309730735</v>
      </c>
      <c r="T168" s="304">
        <f t="shared" ca="1" si="59"/>
        <v>78.321336306845851</v>
      </c>
      <c r="U168" s="311">
        <f t="shared" ca="1" si="60"/>
        <v>0</v>
      </c>
      <c r="V168" s="306">
        <f t="shared" ca="1" si="61"/>
        <v>1.2035646033914729</v>
      </c>
      <c r="W168" s="304">
        <f t="shared" ca="1" si="62"/>
        <v>168.87852495147345</v>
      </c>
      <c r="Y168" s="314" t="str">
        <f t="shared" ca="1" si="80"/>
        <v/>
      </c>
      <c r="Z168" s="315" t="str">
        <f t="shared" ca="1" si="81"/>
        <v/>
      </c>
      <c r="AA168" s="316" t="str">
        <f t="shared" ca="1" si="82"/>
        <v/>
      </c>
      <c r="AC168" s="310" t="e">
        <f t="shared" ca="1" si="83"/>
        <v>#N/A</v>
      </c>
      <c r="AD168" s="323" t="e">
        <f t="shared" ca="1" si="84"/>
        <v>#N/A</v>
      </c>
      <c r="AE168" s="324">
        <f t="shared" ca="1" si="63"/>
        <v>176.52729170632691</v>
      </c>
      <c r="AG168" s="306">
        <f t="shared" ca="1" si="85"/>
        <v>24.357721314231025</v>
      </c>
      <c r="AH168" s="304">
        <f t="shared" ca="1" si="86"/>
        <v>33.973858330270737</v>
      </c>
    </row>
    <row r="169" spans="1:34" x14ac:dyDescent="0.2">
      <c r="A169" s="347">
        <f t="shared" ca="1" si="64"/>
        <v>0.01</v>
      </c>
      <c r="B169" s="304">
        <f t="shared" ca="1" si="65"/>
        <v>1.6500000000000012</v>
      </c>
      <c r="D169" s="306">
        <f t="shared" ca="1" si="66"/>
        <v>5.2193278061617265</v>
      </c>
      <c r="E169" s="307">
        <f t="shared" ca="1" si="67"/>
        <v>16.040188444526024</v>
      </c>
      <c r="F169" s="304">
        <f t="shared" ca="1" si="68"/>
        <v>16.867988264285671</v>
      </c>
      <c r="G169" s="306">
        <f t="shared" ca="1" si="69"/>
        <v>40.842778439622457</v>
      </c>
      <c r="H169" s="307">
        <f t="shared" ca="1" si="70"/>
        <v>202.18724372105117</v>
      </c>
      <c r="I169" s="304">
        <f t="shared" ca="1" si="71"/>
        <v>206.2712148463373</v>
      </c>
      <c r="J169" s="306">
        <f t="shared" ca="1" si="72"/>
        <v>34.796374801387309</v>
      </c>
      <c r="K169" s="307">
        <f t="shared" ca="1" si="73"/>
        <v>178.54836213411519</v>
      </c>
      <c r="L169" s="304">
        <f t="shared" ca="1" si="58"/>
        <v>181.90740864542531</v>
      </c>
      <c r="M169" s="306">
        <f t="shared" ca="1" si="74"/>
        <v>1.3714738925973209</v>
      </c>
      <c r="N169" s="304">
        <f t="shared" ca="1" si="75"/>
        <v>78.57966575820484</v>
      </c>
      <c r="P169" s="310">
        <f t="shared" ca="1" si="76"/>
        <v>18</v>
      </c>
      <c r="Q169" s="304">
        <f t="shared" ca="1" si="77"/>
        <v>379.37749999999403</v>
      </c>
      <c r="R169" s="306">
        <f t="shared" ca="1" si="78"/>
        <v>0.18643814773468939</v>
      </c>
      <c r="S169" s="307">
        <f t="shared" ca="1" si="79"/>
        <v>7.9819619494957266</v>
      </c>
      <c r="T169" s="304">
        <f t="shared" ca="1" si="59"/>
        <v>78.303046724553084</v>
      </c>
      <c r="U169" s="311">
        <f t="shared" ca="1" si="60"/>
        <v>0</v>
      </c>
      <c r="V169" s="306">
        <f t="shared" ca="1" si="61"/>
        <v>1.2033213599225274</v>
      </c>
      <c r="W169" s="304">
        <f t="shared" ca="1" si="62"/>
        <v>169.11904255824456</v>
      </c>
      <c r="Y169" s="314" t="str">
        <f t="shared" ca="1" si="80"/>
        <v/>
      </c>
      <c r="Z169" s="315" t="str">
        <f t="shared" ca="1" si="81"/>
        <v/>
      </c>
      <c r="AA169" s="316" t="str">
        <f t="shared" ca="1" si="82"/>
        <v/>
      </c>
      <c r="AC169" s="310" t="e">
        <f t="shared" ca="1" si="83"/>
        <v>#N/A</v>
      </c>
      <c r="AD169" s="323" t="e">
        <f t="shared" ca="1" si="84"/>
        <v>#N/A</v>
      </c>
      <c r="AE169" s="324">
        <f t="shared" ca="1" si="63"/>
        <v>178.54836213411519</v>
      </c>
      <c r="AG169" s="306">
        <f t="shared" ca="1" si="85"/>
        <v>16.755879690737089</v>
      </c>
      <c r="AH169" s="304">
        <f t="shared" ca="1" si="86"/>
        <v>26.371833940127864</v>
      </c>
    </row>
    <row r="170" spans="1:34" x14ac:dyDescent="0.2">
      <c r="A170" s="347">
        <f t="shared" ca="1" si="64"/>
        <v>0.01</v>
      </c>
      <c r="B170" s="304">
        <f t="shared" ca="1" si="65"/>
        <v>1.6600000000000013</v>
      </c>
      <c r="D170" s="306">
        <f t="shared" ca="1" si="66"/>
        <v>4.1960013126558184</v>
      </c>
      <c r="E170" s="307">
        <f t="shared" ca="1" si="67"/>
        <v>10.961797915510145</v>
      </c>
      <c r="F170" s="304">
        <f t="shared" ca="1" si="68"/>
        <v>11.737437563467246</v>
      </c>
      <c r="G170" s="306">
        <f t="shared" ca="1" si="69"/>
        <v>40.884738452749012</v>
      </c>
      <c r="H170" s="307">
        <f t="shared" ca="1" si="70"/>
        <v>202.29686170020628</v>
      </c>
      <c r="I170" s="304">
        <f t="shared" ca="1" si="71"/>
        <v>206.38697171115737</v>
      </c>
      <c r="J170" s="306">
        <f t="shared" ca="1" si="72"/>
        <v>35.205012385849166</v>
      </c>
      <c r="K170" s="307">
        <f t="shared" ca="1" si="73"/>
        <v>180.57078266122147</v>
      </c>
      <c r="L170" s="304">
        <f t="shared" ca="1" si="58"/>
        <v>183.97065105057891</v>
      </c>
      <c r="M170" s="306">
        <f t="shared" ca="1" si="74"/>
        <v>1.371379776614595</v>
      </c>
      <c r="N170" s="304">
        <f t="shared" ca="1" si="75"/>
        <v>78.574273309609922</v>
      </c>
      <c r="P170" s="310">
        <f t="shared" ca="1" si="76"/>
        <v>18</v>
      </c>
      <c r="Q170" s="304">
        <f t="shared" ca="1" si="77"/>
        <v>338.23249999999405</v>
      </c>
      <c r="R170" s="306">
        <f t="shared" ca="1" si="78"/>
        <v>0.16621818848949454</v>
      </c>
      <c r="S170" s="307">
        <f t="shared" ca="1" si="79"/>
        <v>7.9802997676108314</v>
      </c>
      <c r="T170" s="304">
        <f t="shared" ca="1" si="59"/>
        <v>78.286740720262259</v>
      </c>
      <c r="U170" s="311">
        <f t="shared" ca="1" si="60"/>
        <v>0</v>
      </c>
      <c r="V170" s="306">
        <f t="shared" ca="1" si="61"/>
        <v>1.2030780027341899</v>
      </c>
      <c r="W170" s="304">
        <f t="shared" ca="1" si="62"/>
        <v>169.27467018688483</v>
      </c>
      <c r="Y170" s="314" t="str">
        <f t="shared" ca="1" si="80"/>
        <v/>
      </c>
      <c r="Z170" s="315" t="str">
        <f t="shared" ca="1" si="81"/>
        <v/>
      </c>
      <c r="AA170" s="316" t="str">
        <f t="shared" ca="1" si="82"/>
        <v/>
      </c>
      <c r="AC170" s="310" t="e">
        <f t="shared" ca="1" si="83"/>
        <v>#N/A</v>
      </c>
      <c r="AD170" s="323" t="e">
        <f t="shared" ca="1" si="84"/>
        <v>#N/A</v>
      </c>
      <c r="AE170" s="324">
        <f t="shared" ca="1" si="63"/>
        <v>180.57078266122147</v>
      </c>
      <c r="AG170" s="306">
        <f t="shared" ca="1" si="85"/>
        <v>11.575595075095981</v>
      </c>
      <c r="AH170" s="304">
        <f t="shared" ca="1" si="86"/>
        <v>21.191366535893831</v>
      </c>
    </row>
    <row r="171" spans="1:34" x14ac:dyDescent="0.2">
      <c r="A171" s="347">
        <f t="shared" ca="1" si="64"/>
        <v>0.01</v>
      </c>
      <c r="B171" s="304">
        <f t="shared" ca="1" si="65"/>
        <v>1.6700000000000013</v>
      </c>
      <c r="D171" s="306">
        <f t="shared" ca="1" si="66"/>
        <v>2.8103719341810032</v>
      </c>
      <c r="E171" s="307">
        <f t="shared" ca="1" si="67"/>
        <v>4.0956636782013813</v>
      </c>
      <c r="F171" s="304">
        <f t="shared" ca="1" si="68"/>
        <v>4.9671572728644646</v>
      </c>
      <c r="G171" s="306">
        <f t="shared" ca="1" si="69"/>
        <v>40.912842172090819</v>
      </c>
      <c r="H171" s="307">
        <f t="shared" ca="1" si="70"/>
        <v>202.33781833698831</v>
      </c>
      <c r="I171" s="304">
        <f t="shared" ca="1" si="71"/>
        <v>206.43268487323053</v>
      </c>
      <c r="J171" s="306">
        <f t="shared" ca="1" si="72"/>
        <v>35.614000288973365</v>
      </c>
      <c r="K171" s="307">
        <f t="shared" ca="1" si="73"/>
        <v>182.59395606140745</v>
      </c>
      <c r="L171" s="304">
        <f t="shared" ca="1" si="58"/>
        <v>186.0347005446516</v>
      </c>
      <c r="M171" s="306">
        <f t="shared" ca="1" si="74"/>
        <v>1.3712856376338027</v>
      </c>
      <c r="N171" s="304">
        <f t="shared" ca="1" si="75"/>
        <v>78.568879543322865</v>
      </c>
      <c r="P171" s="310">
        <f t="shared" ca="1" si="76"/>
        <v>19</v>
      </c>
      <c r="Q171" s="304">
        <f t="shared" ca="1" si="77"/>
        <v>282.46999999998985</v>
      </c>
      <c r="R171" s="306">
        <f t="shared" ca="1" si="78"/>
        <v>0.13881472567723876</v>
      </c>
      <c r="S171" s="307">
        <f t="shared" ca="1" si="79"/>
        <v>7.9789116203540589</v>
      </c>
      <c r="T171" s="304">
        <f t="shared" ca="1" si="59"/>
        <v>78.273122995673319</v>
      </c>
      <c r="U171" s="311">
        <f t="shared" ca="1" si="60"/>
        <v>0</v>
      </c>
      <c r="V171" s="306">
        <f t="shared" ca="1" si="61"/>
        <v>1.2028346037519082</v>
      </c>
      <c r="W171" s="304">
        <f t="shared" ca="1" si="62"/>
        <v>169.31540289217531</v>
      </c>
      <c r="Y171" s="314" t="str">
        <f t="shared" ca="1" si="80"/>
        <v/>
      </c>
      <c r="Z171" s="315" t="str">
        <f t="shared" ca="1" si="81"/>
        <v/>
      </c>
      <c r="AA171" s="316" t="str">
        <f t="shared" ca="1" si="82"/>
        <v/>
      </c>
      <c r="AC171" s="310" t="e">
        <f t="shared" ca="1" si="83"/>
        <v>#N/A</v>
      </c>
      <c r="AD171" s="323" t="e">
        <f t="shared" ca="1" si="84"/>
        <v>#N/A</v>
      </c>
      <c r="AE171" s="324">
        <f t="shared" ca="1" si="63"/>
        <v>182.59395606140745</v>
      </c>
      <c r="AG171" s="306">
        <f t="shared" ca="1" si="85"/>
        <v>4.5712247354642361</v>
      </c>
      <c r="AH171" s="304">
        <f t="shared" ca="1" si="86"/>
        <v>14.186813339847729</v>
      </c>
    </row>
    <row r="172" spans="1:34" x14ac:dyDescent="0.2">
      <c r="A172" s="347">
        <f t="shared" ca="1" si="64"/>
        <v>0.01</v>
      </c>
      <c r="B172" s="304">
        <f t="shared" ca="1" si="65"/>
        <v>1.6800000000000013</v>
      </c>
      <c r="D172" s="306">
        <f t="shared" ca="1" si="66"/>
        <v>1.3253428612025693</v>
      </c>
      <c r="E172" s="307">
        <f t="shared" ca="1" si="67"/>
        <v>-3.2554081201143488</v>
      </c>
      <c r="F172" s="304">
        <f t="shared" ca="1" si="68"/>
        <v>3.5148564306735279</v>
      </c>
      <c r="G172" s="306">
        <f t="shared" ca="1" si="69"/>
        <v>40.926095600702844</v>
      </c>
      <c r="H172" s="307">
        <f t="shared" ca="1" si="70"/>
        <v>202.30526425578716</v>
      </c>
      <c r="I172" s="304">
        <f t="shared" ca="1" si="71"/>
        <v>206.40340415487762</v>
      </c>
      <c r="J172" s="306">
        <f t="shared" ca="1" si="72"/>
        <v>36.023194977837335</v>
      </c>
      <c r="K172" s="307">
        <f t="shared" ca="1" si="73"/>
        <v>184.61717147437133</v>
      </c>
      <c r="L172" s="304">
        <f t="shared" ca="1" si="58"/>
        <v>188.09883194642308</v>
      </c>
      <c r="M172" s="306">
        <f t="shared" ca="1" si="74"/>
        <v>1.3711914414427717</v>
      </c>
      <c r="N172" s="304">
        <f t="shared" ca="1" si="75"/>
        <v>78.563482499130586</v>
      </c>
      <c r="P172" s="310">
        <f t="shared" ca="1" si="76"/>
        <v>20</v>
      </c>
      <c r="Q172" s="304">
        <f t="shared" ca="1" si="77"/>
        <v>222.66499999999292</v>
      </c>
      <c r="R172" s="306">
        <f t="shared" ca="1" si="78"/>
        <v>0.10942465002627712</v>
      </c>
      <c r="S172" s="307">
        <f t="shared" ca="1" si="79"/>
        <v>7.9778173738537959</v>
      </c>
      <c r="T172" s="304">
        <f t="shared" ca="1" si="59"/>
        <v>78.262388437505734</v>
      </c>
      <c r="U172" s="311">
        <f t="shared" ca="1" si="60"/>
        <v>0</v>
      </c>
      <c r="V172" s="306">
        <f t="shared" ca="1" si="61"/>
        <v>1.2025912485102053</v>
      </c>
      <c r="W172" s="304">
        <f t="shared" ca="1" si="62"/>
        <v>169.23312854482711</v>
      </c>
      <c r="Y172" s="314" t="str">
        <f t="shared" ca="1" si="80"/>
        <v/>
      </c>
      <c r="Z172" s="315" t="str">
        <f t="shared" ca="1" si="81"/>
        <v/>
      </c>
      <c r="AA172" s="316" t="str">
        <f t="shared" ca="1" si="82"/>
        <v/>
      </c>
      <c r="AC172" s="310" t="e">
        <f t="shared" ca="1" si="83"/>
        <v>#N/A</v>
      </c>
      <c r="AD172" s="323" t="e">
        <f t="shared" ca="1" si="84"/>
        <v>#N/A</v>
      </c>
      <c r="AE172" s="324">
        <f t="shared" ca="1" si="63"/>
        <v>184.61717147437133</v>
      </c>
      <c r="AG172" s="306">
        <f t="shared" ca="1" si="85"/>
        <v>-2.9281634053607704</v>
      </c>
      <c r="AH172" s="304">
        <f t="shared" ca="1" si="86"/>
        <v>6.6872422127214399</v>
      </c>
    </row>
    <row r="173" spans="1:34" x14ac:dyDescent="0.2">
      <c r="A173" s="347">
        <f t="shared" ca="1" si="64"/>
        <v>0.01</v>
      </c>
      <c r="B173" s="304">
        <f t="shared" ca="1" si="65"/>
        <v>1.6900000000000013</v>
      </c>
      <c r="D173" s="306">
        <f t="shared" ca="1" si="66"/>
        <v>-0.90869642442236764</v>
      </c>
      <c r="E173" s="307">
        <f t="shared" ca="1" si="67"/>
        <v>-14.301854587465192</v>
      </c>
      <c r="F173" s="304">
        <f t="shared" ca="1" si="68"/>
        <v>14.330693417722575</v>
      </c>
      <c r="G173" s="306">
        <f t="shared" ca="1" si="69"/>
        <v>40.917008636458618</v>
      </c>
      <c r="H173" s="307">
        <f t="shared" ca="1" si="70"/>
        <v>202.16224570991253</v>
      </c>
      <c r="I173" s="304">
        <f t="shared" ca="1" si="71"/>
        <v>206.26142437749013</v>
      </c>
      <c r="J173" s="306">
        <f t="shared" ca="1" si="72"/>
        <v>36.432410499023142</v>
      </c>
      <c r="K173" s="307">
        <f t="shared" ca="1" si="73"/>
        <v>186.63950902419984</v>
      </c>
      <c r="L173" s="304">
        <f t="shared" ca="1" si="58"/>
        <v>190.16210680249549</v>
      </c>
      <c r="M173" s="306">
        <f t="shared" ca="1" si="74"/>
        <v>1.3710971365003639</v>
      </c>
      <c r="N173" s="304">
        <f t="shared" ca="1" si="75"/>
        <v>78.558079223943395</v>
      </c>
      <c r="P173" s="310">
        <f t="shared" ca="1" si="76"/>
        <v>21</v>
      </c>
      <c r="Q173" s="304">
        <f t="shared" ca="1" si="77"/>
        <v>132.67499999998114</v>
      </c>
      <c r="R173" s="306">
        <f t="shared" ca="1" si="78"/>
        <v>6.5200707081196935E-2</v>
      </c>
      <c r="S173" s="307">
        <f t="shared" ca="1" si="79"/>
        <v>7.9771653667829838</v>
      </c>
      <c r="T173" s="304">
        <f t="shared" ca="1" si="59"/>
        <v>78.255992248141069</v>
      </c>
      <c r="U173" s="311">
        <f t="shared" ca="1" si="60"/>
        <v>0</v>
      </c>
      <c r="V173" s="306">
        <f t="shared" ca="1" si="61"/>
        <v>1.202348047608178</v>
      </c>
      <c r="W173" s="304">
        <f t="shared" ca="1" si="62"/>
        <v>168.966209015142</v>
      </c>
      <c r="Y173" s="314" t="str">
        <f t="shared" ca="1" si="80"/>
        <v/>
      </c>
      <c r="Z173" s="315" t="str">
        <f t="shared" ca="1" si="81"/>
        <v/>
      </c>
      <c r="AA173" s="316" t="str">
        <f t="shared" ca="1" si="82"/>
        <v/>
      </c>
      <c r="AC173" s="310" t="e">
        <f t="shared" ca="1" si="83"/>
        <v>#N/A</v>
      </c>
      <c r="AD173" s="323" t="e">
        <f t="shared" ca="1" si="84"/>
        <v>#N/A</v>
      </c>
      <c r="AE173" s="324">
        <f t="shared" ca="1" si="63"/>
        <v>186.63950902419984</v>
      </c>
      <c r="AG173" s="306">
        <f t="shared" ca="1" si="85"/>
        <v>-14.19806945724573</v>
      </c>
      <c r="AH173" s="304">
        <f t="shared" ca="1" si="86"/>
        <v>-4.5828470219602657</v>
      </c>
    </row>
    <row r="174" spans="1:34" x14ac:dyDescent="0.2">
      <c r="A174" s="347">
        <f t="shared" ca="1" si="64"/>
        <v>0.01</v>
      </c>
      <c r="B174" s="304">
        <f t="shared" ca="1" si="65"/>
        <v>1.7000000000000013</v>
      </c>
      <c r="D174" s="306">
        <f t="shared" ca="1" si="66"/>
        <v>-3.3650854236770784</v>
      </c>
      <c r="E174" s="307">
        <f t="shared" ca="1" si="67"/>
        <v>-26.436172071877309</v>
      </c>
      <c r="F174" s="304">
        <f t="shared" ca="1" si="68"/>
        <v>26.649483929760247</v>
      </c>
      <c r="G174" s="306">
        <f t="shared" ca="1" si="69"/>
        <v>40.88335778222185</v>
      </c>
      <c r="H174" s="307">
        <f t="shared" ca="1" si="70"/>
        <v>201.89788398919376</v>
      </c>
      <c r="I174" s="304">
        <f t="shared" ca="1" si="71"/>
        <v>205.99564195114203</v>
      </c>
      <c r="J174" s="306">
        <f t="shared" ca="1" si="72"/>
        <v>36.841412331116544</v>
      </c>
      <c r="K174" s="307">
        <f t="shared" ca="1" si="73"/>
        <v>188.65980967269536</v>
      </c>
      <c r="L174" s="304">
        <f t="shared" ca="1" si="58"/>
        <v>192.2233426207363</v>
      </c>
      <c r="M174" s="306">
        <f t="shared" ca="1" si="74"/>
        <v>1.3710026658644505</v>
      </c>
      <c r="N174" s="304">
        <f t="shared" ca="1" si="75"/>
        <v>78.552666455217633</v>
      </c>
      <c r="P174" s="310">
        <f t="shared" ca="1" si="76"/>
        <v>22</v>
      </c>
      <c r="Q174" s="304">
        <f t="shared" ca="1" si="77"/>
        <v>33.649999999990285</v>
      </c>
      <c r="R174" s="306">
        <f t="shared" ca="1" si="78"/>
        <v>1.6536678298714566E-2</v>
      </c>
      <c r="S174" s="307">
        <f t="shared" ca="1" si="79"/>
        <v>7.9769999999999968</v>
      </c>
      <c r="T174" s="304">
        <f t="shared" ca="1" si="59"/>
        <v>78.254369999999966</v>
      </c>
      <c r="U174" s="311">
        <f t="shared" ca="1" si="60"/>
        <v>0</v>
      </c>
      <c r="V174" s="306">
        <f t="shared" ca="1" si="61"/>
        <v>1.2021051403086873</v>
      </c>
      <c r="W174" s="304">
        <f t="shared" ca="1" si="62"/>
        <v>168.49699186458909</v>
      </c>
      <c r="Y174" s="314" t="str">
        <f t="shared" ca="1" si="80"/>
        <v/>
      </c>
      <c r="Z174" s="315" t="str">
        <f t="shared" ca="1" si="81"/>
        <v/>
      </c>
      <c r="AA174" s="316" t="str">
        <f t="shared" ca="1" si="82"/>
        <v/>
      </c>
      <c r="AC174" s="310" t="e">
        <f t="shared" ca="1" si="83"/>
        <v>#N/A</v>
      </c>
      <c r="AD174" s="323" t="e">
        <f t="shared" ca="1" si="84"/>
        <v>#N/A</v>
      </c>
      <c r="AE174" s="324">
        <f t="shared" ca="1" si="63"/>
        <v>188.65980967269536</v>
      </c>
      <c r="AG174" s="306">
        <f t="shared" ca="1" si="85"/>
        <v>-26.57833455728661</v>
      </c>
      <c r="AH174" s="304">
        <f t="shared" ca="1" si="86"/>
        <v>-16.963295601749</v>
      </c>
    </row>
    <row r="175" spans="1:34" x14ac:dyDescent="0.2">
      <c r="A175" s="347">
        <f t="shared" ca="1" si="64"/>
        <v>0.01</v>
      </c>
      <c r="B175" s="304">
        <f t="shared" ca="1" si="65"/>
        <v>1.7100000000000013</v>
      </c>
      <c r="D175" s="306">
        <f t="shared" ca="1" si="66"/>
        <v>-4.1921912279459193</v>
      </c>
      <c r="E175" s="307">
        <f t="shared" ca="1" si="67"/>
        <v>-30.512666906884924</v>
      </c>
      <c r="F175" s="304">
        <f t="shared" ca="1" si="68"/>
        <v>30.799306957497876</v>
      </c>
      <c r="G175" s="306">
        <f t="shared" ca="1" si="69"/>
        <v>40.841435869942394</v>
      </c>
      <c r="H175" s="307">
        <f t="shared" ca="1" si="70"/>
        <v>201.59275732012492</v>
      </c>
      <c r="I175" s="304">
        <f t="shared" ca="1" si="71"/>
        <v>205.68826580009224</v>
      </c>
      <c r="J175" s="306">
        <f t="shared" ca="1" si="72"/>
        <v>37.250036299377363</v>
      </c>
      <c r="K175" s="307">
        <f t="shared" ca="1" si="73"/>
        <v>190.67726287924197</v>
      </c>
      <c r="L175" s="304">
        <f t="shared" ca="1" si="58"/>
        <v>194.28171242663186</v>
      </c>
      <c r="M175" s="306">
        <f t="shared" ca="1" si="74"/>
        <v>1.3709080098931123</v>
      </c>
      <c r="N175" s="304">
        <f t="shared" ca="1" si="75"/>
        <v>78.547243067554248</v>
      </c>
      <c r="P175" s="310">
        <f t="shared" ca="1" si="76"/>
        <v>23</v>
      </c>
      <c r="Q175" s="304">
        <f t="shared" ca="1" si="77"/>
        <v>0</v>
      </c>
      <c r="R175" s="306">
        <f t="shared" ca="1" si="78"/>
        <v>0</v>
      </c>
      <c r="S175" s="307">
        <f t="shared" ca="1" si="79"/>
        <v>7.9769999999999968</v>
      </c>
      <c r="T175" s="304">
        <f t="shared" ca="1" si="59"/>
        <v>78.254369999999966</v>
      </c>
      <c r="U175" s="311">
        <f t="shared" ca="1" si="60"/>
        <v>0</v>
      </c>
      <c r="V175" s="306">
        <f t="shared" ca="1" si="61"/>
        <v>1.2018626238747812</v>
      </c>
      <c r="W175" s="304">
        <f t="shared" ca="1" si="62"/>
        <v>167.96063011634891</v>
      </c>
      <c r="Y175" s="314" t="str">
        <f t="shared" ca="1" si="80"/>
        <v>Fin de propulsion</v>
      </c>
      <c r="Z175" s="315" t="str">
        <f t="shared" ca="1" si="81"/>
        <v/>
      </c>
      <c r="AA175" s="316" t="str">
        <f t="shared" ca="1" si="82"/>
        <v/>
      </c>
      <c r="AC175" s="310" t="e">
        <f t="shared" ca="1" si="83"/>
        <v>#N/A</v>
      </c>
      <c r="AD175" s="323" t="e">
        <f t="shared" ca="1" si="84"/>
        <v>#N/A</v>
      </c>
      <c r="AE175" s="324">
        <f t="shared" ca="1" si="63"/>
        <v>190.67726287924197</v>
      </c>
      <c r="AG175" s="306">
        <f t="shared" ca="1" si="85"/>
        <v>-30.737707250780339</v>
      </c>
      <c r="AH175" s="304">
        <f t="shared" ca="1" si="86"/>
        <v>-21.122852183100058</v>
      </c>
    </row>
    <row r="176" spans="1:34" x14ac:dyDescent="0.2">
      <c r="A176" s="347">
        <f t="shared" ca="1" si="64"/>
        <v>0.01</v>
      </c>
      <c r="B176" s="304">
        <f t="shared" ca="1" si="65"/>
        <v>1.7200000000000013</v>
      </c>
      <c r="D176" s="306">
        <f t="shared" ca="1" si="66"/>
        <v>-4.1807999663902109</v>
      </c>
      <c r="E176" s="307">
        <f t="shared" ca="1" si="67"/>
        <v>-30.446370271417614</v>
      </c>
      <c r="F176" s="304">
        <f t="shared" ca="1" si="68"/>
        <v>30.732076907739749</v>
      </c>
      <c r="G176" s="306">
        <f t="shared" ca="1" si="69"/>
        <v>40.799627870278492</v>
      </c>
      <c r="H176" s="307">
        <f t="shared" ca="1" si="70"/>
        <v>201.28829361741074</v>
      </c>
      <c r="I176" s="304">
        <f t="shared" ca="1" si="71"/>
        <v>205.38156387992123</v>
      </c>
      <c r="J176" s="306">
        <f t="shared" ca="1" si="72"/>
        <v>37.65824161807847</v>
      </c>
      <c r="K176" s="307">
        <f t="shared" ca="1" si="73"/>
        <v>192.69166813392965</v>
      </c>
      <c r="L176" s="304">
        <f t="shared" ca="1" si="58"/>
        <v>196.33701161523788</v>
      </c>
      <c r="M176" s="306">
        <f t="shared" ca="1" si="74"/>
        <v>1.3708131682570299</v>
      </c>
      <c r="N176" s="304">
        <f t="shared" ca="1" si="75"/>
        <v>78.541809042084608</v>
      </c>
      <c r="P176" s="310">
        <f t="shared" ca="1" si="76"/>
        <v>23</v>
      </c>
      <c r="Q176" s="304">
        <f t="shared" ca="1" si="77"/>
        <v>0</v>
      </c>
      <c r="R176" s="306">
        <f t="shared" ca="1" si="78"/>
        <v>0</v>
      </c>
      <c r="S176" s="307">
        <f t="shared" ca="1" si="79"/>
        <v>7.9769999999999968</v>
      </c>
      <c r="T176" s="304">
        <f t="shared" ca="1" si="59"/>
        <v>78.254369999999966</v>
      </c>
      <c r="U176" s="311">
        <f t="shared" ca="1" si="60"/>
        <v>0</v>
      </c>
      <c r="V176" s="306">
        <f t="shared" ca="1" si="61"/>
        <v>1.2016205221826304</v>
      </c>
      <c r="W176" s="304">
        <f t="shared" ca="1" si="62"/>
        <v>167.42637817189149</v>
      </c>
      <c r="Y176" s="314" t="str">
        <f t="shared" ca="1" si="80"/>
        <v/>
      </c>
      <c r="Z176" s="315" t="str">
        <f t="shared" ca="1" si="81"/>
        <v/>
      </c>
      <c r="AA176" s="316" t="str">
        <f t="shared" ca="1" si="82"/>
        <v/>
      </c>
      <c r="AC176" s="310" t="e">
        <f t="shared" ca="1" si="83"/>
        <v>#N/A</v>
      </c>
      <c r="AD176" s="323" t="e">
        <f t="shared" ca="1" si="84"/>
        <v>#N/A</v>
      </c>
      <c r="AE176" s="324">
        <f t="shared" ca="1" si="63"/>
        <v>192.69166813392965</v>
      </c>
      <c r="AG176" s="306">
        <f t="shared" ca="1" si="85"/>
        <v>-30.670284386801956</v>
      </c>
      <c r="AH176" s="304">
        <f t="shared" ca="1" si="86"/>
        <v>-21.055613653798293</v>
      </c>
    </row>
    <row r="177" spans="1:34" x14ac:dyDescent="0.2">
      <c r="A177" s="347">
        <f t="shared" ca="1" si="64"/>
        <v>0.01</v>
      </c>
      <c r="B177" s="304">
        <f t="shared" ca="1" si="65"/>
        <v>1.7300000000000013</v>
      </c>
      <c r="D177" s="306">
        <f t="shared" ca="1" si="66"/>
        <v>-4.169452551773305</v>
      </c>
      <c r="E177" s="307">
        <f t="shared" ca="1" si="67"/>
        <v>-30.380334419069271</v>
      </c>
      <c r="F177" s="304">
        <f t="shared" ca="1" si="68"/>
        <v>30.665111348175046</v>
      </c>
      <c r="G177" s="306">
        <f t="shared" ca="1" si="69"/>
        <v>40.757933344760758</v>
      </c>
      <c r="H177" s="307">
        <f t="shared" ca="1" si="70"/>
        <v>200.98449027322005</v>
      </c>
      <c r="I177" s="304">
        <f t="shared" ca="1" si="71"/>
        <v>205.0755335502557</v>
      </c>
      <c r="J177" s="306">
        <f t="shared" ca="1" si="72"/>
        <v>38.066029424153669</v>
      </c>
      <c r="K177" s="307">
        <f t="shared" ca="1" si="73"/>
        <v>194.7030320533828</v>
      </c>
      <c r="L177" s="304">
        <f t="shared" ca="1" si="58"/>
        <v>198.38924690340741</v>
      </c>
      <c r="M177" s="306">
        <f t="shared" ca="1" si="74"/>
        <v>1.3707181406258655</v>
      </c>
      <c r="N177" s="304">
        <f t="shared" ca="1" si="75"/>
        <v>78.536364359881759</v>
      </c>
      <c r="P177" s="310">
        <f t="shared" ca="1" si="76"/>
        <v>23</v>
      </c>
      <c r="Q177" s="304">
        <f t="shared" ca="1" si="77"/>
        <v>0</v>
      </c>
      <c r="R177" s="306">
        <f t="shared" ca="1" si="78"/>
        <v>0</v>
      </c>
      <c r="S177" s="307">
        <f t="shared" ca="1" si="79"/>
        <v>7.9769999999999968</v>
      </c>
      <c r="T177" s="304">
        <f t="shared" ca="1" si="59"/>
        <v>78.254369999999966</v>
      </c>
      <c r="U177" s="311">
        <f t="shared" ca="1" si="60"/>
        <v>0</v>
      </c>
      <c r="V177" s="306">
        <f t="shared" ca="1" si="61"/>
        <v>1.2013788342035214</v>
      </c>
      <c r="W177" s="304">
        <f t="shared" ca="1" si="62"/>
        <v>166.89422503112434</v>
      </c>
      <c r="Y177" s="314" t="str">
        <f t="shared" ca="1" si="80"/>
        <v/>
      </c>
      <c r="Z177" s="315" t="str">
        <f t="shared" ca="1" si="81"/>
        <v/>
      </c>
      <c r="AA177" s="316" t="str">
        <f t="shared" ca="1" si="82"/>
        <v/>
      </c>
      <c r="AC177" s="310" t="e">
        <f t="shared" ca="1" si="83"/>
        <v>#N/A</v>
      </c>
      <c r="AD177" s="323" t="e">
        <f t="shared" ca="1" si="84"/>
        <v>#N/A</v>
      </c>
      <c r="AE177" s="324">
        <f t="shared" ca="1" si="63"/>
        <v>194.7030320533828</v>
      </c>
      <c r="AG177" s="306">
        <f t="shared" ca="1" si="85"/>
        <v>-30.603125560727861</v>
      </c>
      <c r="AH177" s="304">
        <f t="shared" ca="1" si="86"/>
        <v>-20.988639610366246</v>
      </c>
    </row>
    <row r="178" spans="1:34" x14ac:dyDescent="0.2">
      <c r="A178" s="347">
        <f t="shared" ca="1" si="64"/>
        <v>0.01</v>
      </c>
      <c r="B178" s="304">
        <f t="shared" ca="1" si="65"/>
        <v>1.7400000000000013</v>
      </c>
      <c r="D178" s="306">
        <f t="shared" ca="1" si="66"/>
        <v>-4.1581487541162074</v>
      </c>
      <c r="E178" s="307">
        <f t="shared" ca="1" si="67"/>
        <v>-30.31455799014892</v>
      </c>
      <c r="F178" s="304">
        <f t="shared" ca="1" si="68"/>
        <v>30.598408899801633</v>
      </c>
      <c r="G178" s="306">
        <f t="shared" ca="1" si="69"/>
        <v>40.716351857219593</v>
      </c>
      <c r="H178" s="307">
        <f t="shared" ca="1" si="70"/>
        <v>200.68134469331855</v>
      </c>
      <c r="I178" s="304">
        <f t="shared" ca="1" si="71"/>
        <v>204.7701721845236</v>
      </c>
      <c r="J178" s="306">
        <f t="shared" ca="1" si="72"/>
        <v>38.473400850163571</v>
      </c>
      <c r="K178" s="307">
        <f t="shared" ca="1" si="73"/>
        <v>196.71136122821548</v>
      </c>
      <c r="L178" s="304">
        <f t="shared" ca="1" si="58"/>
        <v>200.43842498192515</v>
      </c>
      <c r="M178" s="306">
        <f t="shared" ca="1" si="74"/>
        <v>1.370622926668259</v>
      </c>
      <c r="N178" s="304">
        <f t="shared" ca="1" si="75"/>
        <v>78.530909001960168</v>
      </c>
      <c r="P178" s="310">
        <f t="shared" ca="1" si="76"/>
        <v>23</v>
      </c>
      <c r="Q178" s="304">
        <f t="shared" ca="1" si="77"/>
        <v>0</v>
      </c>
      <c r="R178" s="306">
        <f t="shared" ca="1" si="78"/>
        <v>0</v>
      </c>
      <c r="S178" s="307">
        <f t="shared" ca="1" si="79"/>
        <v>7.9769999999999968</v>
      </c>
      <c r="T178" s="304">
        <f t="shared" ca="1" si="59"/>
        <v>78.254369999999966</v>
      </c>
      <c r="U178" s="311">
        <f t="shared" ca="1" si="60"/>
        <v>0</v>
      </c>
      <c r="V178" s="306">
        <f t="shared" ca="1" si="61"/>
        <v>1.2011375589129665</v>
      </c>
      <c r="W178" s="304">
        <f t="shared" ca="1" si="62"/>
        <v>166.36415976631707</v>
      </c>
      <c r="Y178" s="314" t="str">
        <f t="shared" ca="1" si="80"/>
        <v/>
      </c>
      <c r="Z178" s="315" t="str">
        <f t="shared" ca="1" si="81"/>
        <v/>
      </c>
      <c r="AA178" s="316" t="str">
        <f t="shared" ca="1" si="82"/>
        <v/>
      </c>
      <c r="AC178" s="310" t="e">
        <f t="shared" ca="1" si="83"/>
        <v>#N/A</v>
      </c>
      <c r="AD178" s="323" t="e">
        <f t="shared" ca="1" si="84"/>
        <v>#N/A</v>
      </c>
      <c r="AE178" s="324">
        <f t="shared" ca="1" si="63"/>
        <v>196.71136122821548</v>
      </c>
      <c r="AG178" s="306">
        <f t="shared" ca="1" si="85"/>
        <v>-30.536229392431643</v>
      </c>
      <c r="AH178" s="304">
        <f t="shared" ca="1" si="86"/>
        <v>-20.921928673827804</v>
      </c>
    </row>
    <row r="179" spans="1:34" x14ac:dyDescent="0.2">
      <c r="A179" s="347">
        <f t="shared" ca="1" si="64"/>
        <v>0.01</v>
      </c>
      <c r="B179" s="304">
        <f t="shared" ca="1" si="65"/>
        <v>1.7500000000000013</v>
      </c>
      <c r="D179" s="306">
        <f t="shared" ca="1" si="66"/>
        <v>-4.1468883449515914</v>
      </c>
      <c r="E179" s="307">
        <f t="shared" ca="1" si="67"/>
        <v>-30.249039633909995</v>
      </c>
      <c r="F179" s="304">
        <f t="shared" ca="1" si="68"/>
        <v>30.531968192688677</v>
      </c>
      <c r="G179" s="306">
        <f t="shared" ca="1" si="69"/>
        <v>40.674882973770075</v>
      </c>
      <c r="H179" s="307">
        <f t="shared" ca="1" si="70"/>
        <v>200.37885429697945</v>
      </c>
      <c r="I179" s="304">
        <f t="shared" ca="1" si="71"/>
        <v>204.46547716986359</v>
      </c>
      <c r="J179" s="306">
        <f t="shared" ca="1" si="72"/>
        <v>38.880357024318521</v>
      </c>
      <c r="K179" s="307">
        <f t="shared" ca="1" si="73"/>
        <v>198.71666222316696</v>
      </c>
      <c r="L179" s="304">
        <f t="shared" ca="1" si="58"/>
        <v>202.48455251562947</v>
      </c>
      <c r="M179" s="306">
        <f t="shared" ca="1" si="74"/>
        <v>1.3705275260518253</v>
      </c>
      <c r="N179" s="304">
        <f t="shared" ca="1" si="75"/>
        <v>78.525442949275572</v>
      </c>
      <c r="P179" s="310">
        <f t="shared" ca="1" si="76"/>
        <v>23</v>
      </c>
      <c r="Q179" s="304">
        <f t="shared" ca="1" si="77"/>
        <v>0</v>
      </c>
      <c r="R179" s="306">
        <f t="shared" ca="1" si="78"/>
        <v>0</v>
      </c>
      <c r="S179" s="307">
        <f t="shared" ca="1" si="79"/>
        <v>7.9769999999999968</v>
      </c>
      <c r="T179" s="304">
        <f t="shared" ca="1" si="59"/>
        <v>78.254369999999966</v>
      </c>
      <c r="U179" s="311">
        <f t="shared" ca="1" si="60"/>
        <v>0</v>
      </c>
      <c r="V179" s="306">
        <f t="shared" ca="1" si="61"/>
        <v>1.2008966952906812</v>
      </c>
      <c r="W179" s="304">
        <f t="shared" ca="1" si="62"/>
        <v>165.83617152152888</v>
      </c>
      <c r="Y179" s="314" t="str">
        <f t="shared" ca="1" si="80"/>
        <v/>
      </c>
      <c r="Z179" s="315" t="str">
        <f t="shared" ca="1" si="81"/>
        <v/>
      </c>
      <c r="AA179" s="316" t="str">
        <f t="shared" ca="1" si="82"/>
        <v/>
      </c>
      <c r="AC179" s="310" t="e">
        <f t="shared" ca="1" si="83"/>
        <v>#N/A</v>
      </c>
      <c r="AD179" s="323" t="e">
        <f t="shared" ca="1" si="84"/>
        <v>#N/A</v>
      </c>
      <c r="AE179" s="324">
        <f t="shared" ca="1" si="63"/>
        <v>198.71666222316696</v>
      </c>
      <c r="AG179" s="306">
        <f t="shared" ca="1" si="85"/>
        <v>-30.469594510854044</v>
      </c>
      <c r="AH179" s="304">
        <f t="shared" ca="1" si="86"/>
        <v>-20.855479474278191</v>
      </c>
    </row>
    <row r="180" spans="1:34" x14ac:dyDescent="0.2">
      <c r="A180" s="347">
        <f t="shared" ca="1" si="64"/>
        <v>0.01</v>
      </c>
      <c r="B180" s="304">
        <f t="shared" ca="1" si="65"/>
        <v>1.7600000000000013</v>
      </c>
      <c r="D180" s="306">
        <f t="shared" ca="1" si="66"/>
        <v>-4.1356710973118416</v>
      </c>
      <c r="E180" s="307">
        <f t="shared" ca="1" si="67"/>
        <v>-30.183778008479607</v>
      </c>
      <c r="F180" s="304">
        <f t="shared" ca="1" si="68"/>
        <v>30.46578786590489</v>
      </c>
      <c r="G180" s="306">
        <f t="shared" ca="1" si="69"/>
        <v>40.633526262796956</v>
      </c>
      <c r="H180" s="307">
        <f t="shared" ca="1" si="70"/>
        <v>200.07701651689464</v>
      </c>
      <c r="I180" s="304">
        <f t="shared" ca="1" si="71"/>
        <v>204.1614459070349</v>
      </c>
      <c r="J180" s="306">
        <f t="shared" ca="1" si="72"/>
        <v>39.286899070501356</v>
      </c>
      <c r="K180" s="307">
        <f t="shared" ca="1" si="73"/>
        <v>200.71894157723634</v>
      </c>
      <c r="L180" s="304">
        <f t="shared" ca="1" si="58"/>
        <v>204.52763614353387</v>
      </c>
      <c r="M180" s="306">
        <f t="shared" ca="1" si="74"/>
        <v>1.3704319384431509</v>
      </c>
      <c r="N180" s="304">
        <f t="shared" ca="1" si="75"/>
        <v>78.519966182724787</v>
      </c>
      <c r="P180" s="310">
        <f t="shared" ca="1" si="76"/>
        <v>23</v>
      </c>
      <c r="Q180" s="304">
        <f t="shared" ca="1" si="77"/>
        <v>0</v>
      </c>
      <c r="R180" s="306">
        <f t="shared" ca="1" si="78"/>
        <v>0</v>
      </c>
      <c r="S180" s="307">
        <f t="shared" ca="1" si="79"/>
        <v>7.9769999999999968</v>
      </c>
      <c r="T180" s="304">
        <f t="shared" ca="1" si="59"/>
        <v>78.254369999999966</v>
      </c>
      <c r="U180" s="311">
        <f t="shared" ca="1" si="60"/>
        <v>0</v>
      </c>
      <c r="V180" s="306">
        <f t="shared" ca="1" si="61"/>
        <v>1.20065624232056</v>
      </c>
      <c r="W180" s="304">
        <f t="shared" ca="1" si="62"/>
        <v>165.31024951204085</v>
      </c>
      <c r="Y180" s="314" t="str">
        <f t="shared" ca="1" si="80"/>
        <v/>
      </c>
      <c r="Z180" s="315" t="str">
        <f t="shared" ca="1" si="81"/>
        <v/>
      </c>
      <c r="AA180" s="316" t="str">
        <f t="shared" ca="1" si="82"/>
        <v/>
      </c>
      <c r="AC180" s="310" t="e">
        <f t="shared" ca="1" si="83"/>
        <v>#N/A</v>
      </c>
      <c r="AD180" s="323" t="e">
        <f t="shared" ca="1" si="84"/>
        <v>#N/A</v>
      </c>
      <c r="AE180" s="324">
        <f t="shared" ca="1" si="63"/>
        <v>200.71894157723634</v>
      </c>
      <c r="AG180" s="306">
        <f t="shared" ca="1" si="85"/>
        <v>-30.403219553931198</v>
      </c>
      <c r="AH180" s="304">
        <f t="shared" ca="1" si="86"/>
        <v>-20.789290650812205</v>
      </c>
    </row>
    <row r="181" spans="1:34" x14ac:dyDescent="0.2">
      <c r="A181" s="347">
        <f t="shared" ca="1" si="64"/>
        <v>0.01</v>
      </c>
      <c r="B181" s="304">
        <f t="shared" ca="1" si="65"/>
        <v>1.7700000000000014</v>
      </c>
      <c r="D181" s="306">
        <f t="shared" ca="1" si="66"/>
        <v>-4.124496785717171</v>
      </c>
      <c r="E181" s="307">
        <f t="shared" ca="1" si="67"/>
        <v>-30.118771780788357</v>
      </c>
      <c r="F181" s="304">
        <f t="shared" ca="1" si="68"/>
        <v>30.399866567447372</v>
      </c>
      <c r="G181" s="306">
        <f t="shared" ca="1" si="69"/>
        <v>40.592281294939781</v>
      </c>
      <c r="H181" s="307">
        <f t="shared" ca="1" si="70"/>
        <v>199.77582879908675</v>
      </c>
      <c r="I181" s="304">
        <f t="shared" ca="1" si="71"/>
        <v>203.85807581032824</v>
      </c>
      <c r="J181" s="306">
        <f t="shared" ca="1" si="72"/>
        <v>39.693028108290036</v>
      </c>
      <c r="K181" s="307">
        <f t="shared" ca="1" si="73"/>
        <v>202.71820580381623</v>
      </c>
      <c r="L181" s="304">
        <f t="shared" ca="1" si="58"/>
        <v>206.56768247894902</v>
      </c>
      <c r="M181" s="306">
        <f t="shared" ca="1" si="74"/>
        <v>1.3703361635077904</v>
      </c>
      <c r="N181" s="304">
        <f t="shared" ca="1" si="75"/>
        <v>78.514478683145484</v>
      </c>
      <c r="P181" s="310">
        <f t="shared" ca="1" si="76"/>
        <v>23</v>
      </c>
      <c r="Q181" s="304">
        <f t="shared" ca="1" si="77"/>
        <v>0</v>
      </c>
      <c r="R181" s="306">
        <f t="shared" ca="1" si="78"/>
        <v>0</v>
      </c>
      <c r="S181" s="307">
        <f t="shared" ca="1" si="79"/>
        <v>7.9769999999999968</v>
      </c>
      <c r="T181" s="304">
        <f t="shared" ca="1" si="59"/>
        <v>78.254369999999966</v>
      </c>
      <c r="U181" s="311">
        <f t="shared" ca="1" si="60"/>
        <v>0</v>
      </c>
      <c r="V181" s="306">
        <f t="shared" ca="1" si="61"/>
        <v>1.2004161989906552</v>
      </c>
      <c r="W181" s="304">
        <f t="shared" ca="1" si="62"/>
        <v>164.78638302379423</v>
      </c>
      <c r="Y181" s="314" t="str">
        <f t="shared" ca="1" si="80"/>
        <v/>
      </c>
      <c r="Z181" s="315" t="str">
        <f t="shared" ca="1" si="81"/>
        <v/>
      </c>
      <c r="AA181" s="316" t="str">
        <f t="shared" ca="1" si="82"/>
        <v/>
      </c>
      <c r="AC181" s="310" t="e">
        <f t="shared" ca="1" si="83"/>
        <v>#N/A</v>
      </c>
      <c r="AD181" s="323" t="e">
        <f t="shared" ca="1" si="84"/>
        <v>#N/A</v>
      </c>
      <c r="AE181" s="324">
        <f t="shared" ca="1" si="63"/>
        <v>202.71820580381623</v>
      </c>
      <c r="AG181" s="306">
        <f t="shared" ca="1" si="85"/>
        <v>-30.33710316852342</v>
      </c>
      <c r="AH181" s="304">
        <f t="shared" ca="1" si="86"/>
        <v>-20.723360851453045</v>
      </c>
    </row>
    <row r="182" spans="1:34" x14ac:dyDescent="0.2">
      <c r="A182" s="347">
        <f t="shared" ca="1" si="64"/>
        <v>0.01</v>
      </c>
      <c r="B182" s="304">
        <f t="shared" ca="1" si="65"/>
        <v>1.7800000000000014</v>
      </c>
      <c r="D182" s="306">
        <f t="shared" ca="1" si="66"/>
        <v>-4.1133651861639153</v>
      </c>
      <c r="E182" s="307">
        <f t="shared" ca="1" si="67"/>
        <v>-30.054019626500896</v>
      </c>
      <c r="F182" s="304">
        <f t="shared" ca="1" si="68"/>
        <v>30.334202954171161</v>
      </c>
      <c r="G182" s="306">
        <f t="shared" ca="1" si="69"/>
        <v>40.551147643078139</v>
      </c>
      <c r="H182" s="307">
        <f t="shared" ca="1" si="70"/>
        <v>199.47528860282173</v>
      </c>
      <c r="I182" s="304">
        <f t="shared" ca="1" si="71"/>
        <v>203.55536430747716</v>
      </c>
      <c r="J182" s="306">
        <f t="shared" ca="1" si="72"/>
        <v>40.098745252980123</v>
      </c>
      <c r="K182" s="307">
        <f t="shared" ca="1" si="73"/>
        <v>204.71446139082576</v>
      </c>
      <c r="L182" s="304">
        <f t="shared" ca="1" si="58"/>
        <v>208.60469810960461</v>
      </c>
      <c r="M182" s="306">
        <f t="shared" ca="1" si="74"/>
        <v>1.3702402009102632</v>
      </c>
      <c r="N182" s="304">
        <f t="shared" ca="1" si="75"/>
        <v>78.508980431316061</v>
      </c>
      <c r="P182" s="310">
        <f t="shared" ca="1" si="76"/>
        <v>23</v>
      </c>
      <c r="Q182" s="304">
        <f t="shared" ca="1" si="77"/>
        <v>0</v>
      </c>
      <c r="R182" s="306">
        <f t="shared" ca="1" si="78"/>
        <v>0</v>
      </c>
      <c r="S182" s="307">
        <f t="shared" ca="1" si="79"/>
        <v>7.9769999999999968</v>
      </c>
      <c r="T182" s="304">
        <f t="shared" ca="1" si="59"/>
        <v>78.254369999999966</v>
      </c>
      <c r="U182" s="311">
        <f t="shared" ca="1" si="60"/>
        <v>0</v>
      </c>
      <c r="V182" s="306">
        <f t="shared" ca="1" si="61"/>
        <v>1.2001765642931539</v>
      </c>
      <c r="W182" s="304">
        <f t="shared" ca="1" si="62"/>
        <v>164.26456141283347</v>
      </c>
      <c r="Y182" s="314" t="str">
        <f t="shared" ca="1" si="80"/>
        <v/>
      </c>
      <c r="Z182" s="315" t="str">
        <f t="shared" ca="1" si="81"/>
        <v/>
      </c>
      <c r="AA182" s="316" t="str">
        <f t="shared" ca="1" si="82"/>
        <v/>
      </c>
      <c r="AC182" s="310" t="e">
        <f t="shared" ca="1" si="83"/>
        <v>#N/A</v>
      </c>
      <c r="AD182" s="323" t="e">
        <f t="shared" ca="1" si="84"/>
        <v>#N/A</v>
      </c>
      <c r="AE182" s="324">
        <f t="shared" ca="1" si="63"/>
        <v>204.71446139082576</v>
      </c>
      <c r="AG182" s="306">
        <f t="shared" ca="1" si="85"/>
        <v>-30.271244010344795</v>
      </c>
      <c r="AH182" s="304">
        <f t="shared" ca="1" si="86"/>
        <v>-20.657688733081898</v>
      </c>
    </row>
    <row r="183" spans="1:34" x14ac:dyDescent="0.2">
      <c r="A183" s="347">
        <f t="shared" ca="1" si="64"/>
        <v>0.01</v>
      </c>
      <c r="B183" s="304">
        <f t="shared" ca="1" si="65"/>
        <v>1.7900000000000014</v>
      </c>
      <c r="D183" s="306">
        <f t="shared" ca="1" si="66"/>
        <v>-4.1022760761128794</v>
      </c>
      <c r="E183" s="307">
        <f t="shared" ca="1" si="67"/>
        <v>-29.989520229947111</v>
      </c>
      <c r="F183" s="304">
        <f t="shared" ca="1" si="68"/>
        <v>30.268795691719468</v>
      </c>
      <c r="G183" s="306">
        <f t="shared" ca="1" si="69"/>
        <v>40.510124882317008</v>
      </c>
      <c r="H183" s="307">
        <f t="shared" ca="1" si="70"/>
        <v>199.17539340052227</v>
      </c>
      <c r="I183" s="304">
        <f t="shared" ca="1" si="71"/>
        <v>203.25330883957025</v>
      </c>
      <c r="J183" s="306">
        <f t="shared" ca="1" si="72"/>
        <v>40.504051615607096</v>
      </c>
      <c r="K183" s="307">
        <f t="shared" ca="1" si="73"/>
        <v>206.70771480084247</v>
      </c>
      <c r="L183" s="304">
        <f t="shared" ca="1" si="58"/>
        <v>210.63868959777116</v>
      </c>
      <c r="M183" s="306">
        <f t="shared" ca="1" si="74"/>
        <v>1.370144050314051</v>
      </c>
      <c r="N183" s="304">
        <f t="shared" ca="1" si="75"/>
        <v>78.503471407955431</v>
      </c>
      <c r="P183" s="310">
        <f t="shared" ca="1" si="76"/>
        <v>23</v>
      </c>
      <c r="Q183" s="304">
        <f t="shared" ca="1" si="77"/>
        <v>0</v>
      </c>
      <c r="R183" s="306">
        <f t="shared" ca="1" si="78"/>
        <v>0</v>
      </c>
      <c r="S183" s="307">
        <f t="shared" ca="1" si="79"/>
        <v>7.9769999999999968</v>
      </c>
      <c r="T183" s="304">
        <f t="shared" ca="1" si="59"/>
        <v>78.254369999999966</v>
      </c>
      <c r="U183" s="311">
        <f t="shared" ca="1" si="60"/>
        <v>0</v>
      </c>
      <c r="V183" s="306">
        <f t="shared" ca="1" si="61"/>
        <v>1.1999373372243558</v>
      </c>
      <c r="W183" s="304">
        <f t="shared" ca="1" si="62"/>
        <v>163.74477410475458</v>
      </c>
      <c r="Y183" s="314" t="str">
        <f t="shared" ca="1" si="80"/>
        <v/>
      </c>
      <c r="Z183" s="315" t="str">
        <f t="shared" ca="1" si="81"/>
        <v/>
      </c>
      <c r="AA183" s="316" t="str">
        <f t="shared" ca="1" si="82"/>
        <v/>
      </c>
      <c r="AC183" s="310" t="e">
        <f t="shared" ca="1" si="83"/>
        <v>#N/A</v>
      </c>
      <c r="AD183" s="323" t="e">
        <f t="shared" ca="1" si="84"/>
        <v>#N/A</v>
      </c>
      <c r="AE183" s="324">
        <f t="shared" ca="1" si="63"/>
        <v>206.70771480084247</v>
      </c>
      <c r="AG183" s="306">
        <f t="shared" ca="1" si="85"/>
        <v>-30.205640743893326</v>
      </c>
      <c r="AH183" s="304">
        <f t="shared" ca="1" si="86"/>
        <v>-20.592272961368124</v>
      </c>
    </row>
    <row r="184" spans="1:34" x14ac:dyDescent="0.2">
      <c r="A184" s="347">
        <f t="shared" ca="1" si="64"/>
        <v>0.01</v>
      </c>
      <c r="B184" s="304">
        <f t="shared" ca="1" si="65"/>
        <v>1.8000000000000014</v>
      </c>
      <c r="D184" s="306">
        <f t="shared" ca="1" si="66"/>
        <v>-4.091229234477801</v>
      </c>
      <c r="E184" s="307">
        <f t="shared" ca="1" si="67"/>
        <v>-29.925272284053904</v>
      </c>
      <c r="F184" s="304">
        <f t="shared" ca="1" si="68"/>
        <v>30.203643454454472</v>
      </c>
      <c r="G184" s="306">
        <f t="shared" ca="1" si="69"/>
        <v>40.46921258997223</v>
      </c>
      <c r="H184" s="307">
        <f t="shared" ca="1" si="70"/>
        <v>198.87614067768172</v>
      </c>
      <c r="I184" s="304">
        <f t="shared" ca="1" si="71"/>
        <v>202.95190686096402</v>
      </c>
      <c r="J184" s="306">
        <f t="shared" ca="1" si="72"/>
        <v>40.90894830296854</v>
      </c>
      <c r="K184" s="307">
        <f t="shared" ca="1" si="73"/>
        <v>208.6979724712335</v>
      </c>
      <c r="L184" s="304">
        <f t="shared" ca="1" si="58"/>
        <v>212.66966348038144</v>
      </c>
      <c r="M184" s="306">
        <f t="shared" ca="1" si="74"/>
        <v>1.370047711381593</v>
      </c>
      <c r="N184" s="304">
        <f t="shared" ca="1" si="75"/>
        <v>78.497951593722803</v>
      </c>
      <c r="P184" s="310">
        <f t="shared" ca="1" si="76"/>
        <v>23</v>
      </c>
      <c r="Q184" s="304">
        <f t="shared" ca="1" si="77"/>
        <v>0</v>
      </c>
      <c r="R184" s="306">
        <f t="shared" ca="1" si="78"/>
        <v>0</v>
      </c>
      <c r="S184" s="307">
        <f t="shared" ca="1" si="79"/>
        <v>7.9769999999999968</v>
      </c>
      <c r="T184" s="304">
        <f t="shared" ca="1" si="59"/>
        <v>78.254369999999966</v>
      </c>
      <c r="U184" s="311">
        <f t="shared" ca="1" si="60"/>
        <v>0</v>
      </c>
      <c r="V184" s="306">
        <f t="shared" ca="1" si="61"/>
        <v>1.1996985167846519</v>
      </c>
      <c r="W184" s="304">
        <f t="shared" ca="1" si="62"/>
        <v>163.22701059415834</v>
      </c>
      <c r="Y184" s="314" t="str">
        <f t="shared" ca="1" si="80"/>
        <v/>
      </c>
      <c r="Z184" s="315" t="str">
        <f t="shared" ca="1" si="81"/>
        <v/>
      </c>
      <c r="AA184" s="316" t="str">
        <f t="shared" ca="1" si="82"/>
        <v/>
      </c>
      <c r="AC184" s="310" t="e">
        <f t="shared" ca="1" si="83"/>
        <v>#N/A</v>
      </c>
      <c r="AD184" s="323" t="e">
        <f t="shared" ca="1" si="84"/>
        <v>#N/A</v>
      </c>
      <c r="AE184" s="324">
        <f t="shared" ca="1" si="63"/>
        <v>208.6979724712335</v>
      </c>
      <c r="AG184" s="306">
        <f t="shared" ca="1" si="85"/>
        <v>-30.140292042381766</v>
      </c>
      <c r="AH184" s="304">
        <f t="shared" ca="1" si="86"/>
        <v>-20.527112210700093</v>
      </c>
    </row>
    <row r="185" spans="1:34" x14ac:dyDescent="0.2">
      <c r="A185" s="347">
        <f t="shared" ca="1" si="64"/>
        <v>0.01</v>
      </c>
      <c r="B185" s="304">
        <f t="shared" ca="1" si="65"/>
        <v>1.8100000000000014</v>
      </c>
      <c r="D185" s="306">
        <f t="shared" ca="1" si="66"/>
        <v>-4.0802244416139537</v>
      </c>
      <c r="E185" s="307">
        <f t="shared" ca="1" si="67"/>
        <v>-29.861274490277609</v>
      </c>
      <c r="F185" s="304">
        <f t="shared" ca="1" si="68"/>
        <v>30.138744925388782</v>
      </c>
      <c r="G185" s="306">
        <f t="shared" ca="1" si="69"/>
        <v>40.428410345556088</v>
      </c>
      <c r="H185" s="307">
        <f t="shared" ca="1" si="70"/>
        <v>198.57752793277893</v>
      </c>
      <c r="I185" s="304">
        <f t="shared" ca="1" si="71"/>
        <v>202.65115583919641</v>
      </c>
      <c r="J185" s="306">
        <f t="shared" ca="1" si="72"/>
        <v>41.31343641764618</v>
      </c>
      <c r="K185" s="307">
        <f t="shared" ca="1" si="73"/>
        <v>210.68524081428581</v>
      </c>
      <c r="L185" s="304">
        <f t="shared" ca="1" si="58"/>
        <v>214.69762626915207</v>
      </c>
      <c r="M185" s="306">
        <f t="shared" ca="1" si="74"/>
        <v>1.3699511837742844</v>
      </c>
      <c r="N185" s="304">
        <f t="shared" ca="1" si="75"/>
        <v>78.49242096921752</v>
      </c>
      <c r="P185" s="310">
        <f t="shared" ca="1" si="76"/>
        <v>23</v>
      </c>
      <c r="Q185" s="304">
        <f t="shared" ca="1" si="77"/>
        <v>0</v>
      </c>
      <c r="R185" s="306">
        <f t="shared" ca="1" si="78"/>
        <v>0</v>
      </c>
      <c r="S185" s="307">
        <f t="shared" ca="1" si="79"/>
        <v>7.9769999999999968</v>
      </c>
      <c r="T185" s="304">
        <f t="shared" ca="1" si="59"/>
        <v>78.254369999999966</v>
      </c>
      <c r="U185" s="311">
        <f t="shared" ca="1" si="60"/>
        <v>0</v>
      </c>
      <c r="V185" s="306">
        <f t="shared" ca="1" si="61"/>
        <v>1.1994601019785018</v>
      </c>
      <c r="W185" s="304">
        <f t="shared" ca="1" si="62"/>
        <v>162.71126044410889</v>
      </c>
      <c r="Y185" s="314" t="str">
        <f t="shared" ca="1" si="80"/>
        <v/>
      </c>
      <c r="Z185" s="315" t="str">
        <f t="shared" ca="1" si="81"/>
        <v/>
      </c>
      <c r="AA185" s="316" t="str">
        <f t="shared" ca="1" si="82"/>
        <v/>
      </c>
      <c r="AC185" s="310" t="e">
        <f t="shared" ca="1" si="83"/>
        <v>#N/A</v>
      </c>
      <c r="AD185" s="323" t="e">
        <f t="shared" ca="1" si="84"/>
        <v>#N/A</v>
      </c>
      <c r="AE185" s="324">
        <f t="shared" ca="1" si="63"/>
        <v>210.68524081428581</v>
      </c>
      <c r="AG185" s="306">
        <f t="shared" ca="1" si="85"/>
        <v>-30.075196587669062</v>
      </c>
      <c r="AH185" s="304">
        <f t="shared" ca="1" si="86"/>
        <v>-20.462205164116636</v>
      </c>
    </row>
    <row r="186" spans="1:34" x14ac:dyDescent="0.2">
      <c r="A186" s="347">
        <f t="shared" ca="1" si="64"/>
        <v>0.01</v>
      </c>
      <c r="B186" s="304">
        <f t="shared" ca="1" si="65"/>
        <v>1.8200000000000014</v>
      </c>
      <c r="D186" s="306">
        <f t="shared" ca="1" si="66"/>
        <v>-4.0692614793068049</v>
      </c>
      <c r="E186" s="307">
        <f t="shared" ca="1" si="67"/>
        <v>-29.797525558537103</v>
      </c>
      <c r="F186" s="304">
        <f t="shared" ca="1" si="68"/>
        <v>30.074098796117603</v>
      </c>
      <c r="G186" s="306">
        <f t="shared" ca="1" si="69"/>
        <v>40.387717730763022</v>
      </c>
      <c r="H186" s="307">
        <f t="shared" ca="1" si="70"/>
        <v>198.27955267719355</v>
      </c>
      <c r="I186" s="304">
        <f t="shared" ca="1" si="71"/>
        <v>202.35105325490096</v>
      </c>
      <c r="J186" s="306">
        <f t="shared" ca="1" si="72"/>
        <v>41.717517058027774</v>
      </c>
      <c r="K186" s="307">
        <f t="shared" ca="1" si="73"/>
        <v>212.66952621733566</v>
      </c>
      <c r="L186" s="304">
        <f t="shared" ca="1" si="58"/>
        <v>216.72258445070477</v>
      </c>
      <c r="M186" s="306">
        <f t="shared" ca="1" si="74"/>
        <v>1.3698544671524715</v>
      </c>
      <c r="N186" s="304">
        <f t="shared" ca="1" si="75"/>
        <v>78.486879514978881</v>
      </c>
      <c r="P186" s="310">
        <f t="shared" ca="1" si="76"/>
        <v>23</v>
      </c>
      <c r="Q186" s="304">
        <f t="shared" ca="1" si="77"/>
        <v>0</v>
      </c>
      <c r="R186" s="306">
        <f t="shared" ca="1" si="78"/>
        <v>0</v>
      </c>
      <c r="S186" s="307">
        <f t="shared" ca="1" si="79"/>
        <v>7.9769999999999968</v>
      </c>
      <c r="T186" s="304">
        <f t="shared" ca="1" si="59"/>
        <v>78.254369999999966</v>
      </c>
      <c r="U186" s="311">
        <f t="shared" ca="1" si="60"/>
        <v>0</v>
      </c>
      <c r="V186" s="306">
        <f t="shared" ca="1" si="61"/>
        <v>1.1992220918144119</v>
      </c>
      <c r="W186" s="304">
        <f t="shared" ca="1" si="62"/>
        <v>162.1975132855967</v>
      </c>
      <c r="Y186" s="314" t="str">
        <f t="shared" ca="1" si="80"/>
        <v/>
      </c>
      <c r="Z186" s="315" t="str">
        <f t="shared" ca="1" si="81"/>
        <v/>
      </c>
      <c r="AA186" s="316" t="str">
        <f t="shared" ca="1" si="82"/>
        <v/>
      </c>
      <c r="AC186" s="310" t="e">
        <f t="shared" ca="1" si="83"/>
        <v>#N/A</v>
      </c>
      <c r="AD186" s="323" t="e">
        <f t="shared" ca="1" si="84"/>
        <v>#N/A</v>
      </c>
      <c r="AE186" s="324">
        <f t="shared" ca="1" si="63"/>
        <v>212.66952621733566</v>
      </c>
      <c r="AG186" s="306">
        <f t="shared" ca="1" si="85"/>
        <v>-30.010353070192444</v>
      </c>
      <c r="AH186" s="304">
        <f t="shared" ca="1" si="86"/>
        <v>-20.397550513239182</v>
      </c>
    </row>
    <row r="187" spans="1:34" x14ac:dyDescent="0.2">
      <c r="A187" s="347">
        <f t="shared" ca="1" si="64"/>
        <v>0.01</v>
      </c>
      <c r="B187" s="304">
        <f t="shared" ca="1" si="65"/>
        <v>1.8300000000000014</v>
      </c>
      <c r="D187" s="306">
        <f t="shared" ca="1" si="66"/>
        <v>-4.0583401307608167</v>
      </c>
      <c r="E187" s="307">
        <f t="shared" ca="1" si="67"/>
        <v>-29.734024207147371</v>
      </c>
      <c r="F187" s="304">
        <f t="shared" ca="1" si="68"/>
        <v>30.00970376675134</v>
      </c>
      <c r="G187" s="306">
        <f t="shared" ca="1" si="69"/>
        <v>40.347134329455415</v>
      </c>
      <c r="H187" s="307">
        <f t="shared" ca="1" si="70"/>
        <v>197.98221243512208</v>
      </c>
      <c r="I187" s="304">
        <f t="shared" ca="1" si="71"/>
        <v>202.05159660172183</v>
      </c>
      <c r="J187" s="306">
        <f t="shared" ca="1" si="72"/>
        <v>42.121191318328869</v>
      </c>
      <c r="K187" s="307">
        <f t="shared" ca="1" si="73"/>
        <v>214.65083504289723</v>
      </c>
      <c r="L187" s="304">
        <f t="shared" ca="1" si="58"/>
        <v>218.74454448668735</v>
      </c>
      <c r="M187" s="306">
        <f t="shared" ca="1" si="74"/>
        <v>1.3697575611754496</v>
      </c>
      <c r="N187" s="304">
        <f t="shared" ca="1" si="75"/>
        <v>78.481327211485933</v>
      </c>
      <c r="P187" s="310">
        <f t="shared" ca="1" si="76"/>
        <v>23</v>
      </c>
      <c r="Q187" s="304">
        <f t="shared" ca="1" si="77"/>
        <v>0</v>
      </c>
      <c r="R187" s="306">
        <f t="shared" ca="1" si="78"/>
        <v>0</v>
      </c>
      <c r="S187" s="307">
        <f t="shared" ca="1" si="79"/>
        <v>7.9769999999999968</v>
      </c>
      <c r="T187" s="304">
        <f t="shared" ca="1" si="59"/>
        <v>78.254369999999966</v>
      </c>
      <c r="U187" s="311">
        <f t="shared" ca="1" si="60"/>
        <v>0</v>
      </c>
      <c r="V187" s="306">
        <f t="shared" ca="1" si="61"/>
        <v>1.1989844853049141</v>
      </c>
      <c r="W187" s="304">
        <f t="shared" ca="1" si="62"/>
        <v>161.68575881700735</v>
      </c>
      <c r="Y187" s="314" t="str">
        <f t="shared" ca="1" si="80"/>
        <v/>
      </c>
      <c r="Z187" s="315" t="str">
        <f t="shared" ca="1" si="81"/>
        <v/>
      </c>
      <c r="AA187" s="316" t="str">
        <f t="shared" ca="1" si="82"/>
        <v/>
      </c>
      <c r="AC187" s="310" t="e">
        <f t="shared" ca="1" si="83"/>
        <v>#N/A</v>
      </c>
      <c r="AD187" s="323" t="e">
        <f t="shared" ca="1" si="84"/>
        <v>#N/A</v>
      </c>
      <c r="AE187" s="324">
        <f t="shared" ca="1" si="63"/>
        <v>214.65083504289723</v>
      </c>
      <c r="AG187" s="306">
        <f t="shared" ca="1" si="85"/>
        <v>-29.945760188900124</v>
      </c>
      <c r="AH187" s="304">
        <f t="shared" ca="1" si="86"/>
        <v>-20.333146958204434</v>
      </c>
    </row>
    <row r="188" spans="1:34" x14ac:dyDescent="0.2">
      <c r="A188" s="347">
        <f t="shared" ca="1" si="64"/>
        <v>0.01</v>
      </c>
      <c r="B188" s="304">
        <f t="shared" ca="1" si="65"/>
        <v>1.8400000000000014</v>
      </c>
      <c r="D188" s="306">
        <f t="shared" ca="1" si="66"/>
        <v>-4.0474601805883346</v>
      </c>
      <c r="E188" s="307">
        <f t="shared" ca="1" si="67"/>
        <v>-29.670769162753906</v>
      </c>
      <c r="F188" s="304">
        <f t="shared" ca="1" si="68"/>
        <v>29.945558545849106</v>
      </c>
      <c r="G188" s="306">
        <f t="shared" ca="1" si="69"/>
        <v>40.306659727649532</v>
      </c>
      <c r="H188" s="307">
        <f t="shared" ca="1" si="70"/>
        <v>197.68550474349453</v>
      </c>
      <c r="I188" s="304">
        <f t="shared" ca="1" si="71"/>
        <v>201.7527833862292</v>
      </c>
      <c r="J188" s="306">
        <f t="shared" ca="1" si="72"/>
        <v>42.524460288614392</v>
      </c>
      <c r="K188" s="307">
        <f t="shared" ca="1" si="73"/>
        <v>216.62917362879031</v>
      </c>
      <c r="L188" s="304">
        <f t="shared" ca="1" si="58"/>
        <v>220.76351281389441</v>
      </c>
      <c r="M188" s="306">
        <f t="shared" ca="1" si="74"/>
        <v>1.3696604655014581</v>
      </c>
      <c r="N188" s="304">
        <f t="shared" ca="1" si="75"/>
        <v>78.475764039157241</v>
      </c>
      <c r="P188" s="310">
        <f t="shared" ca="1" si="76"/>
        <v>23</v>
      </c>
      <c r="Q188" s="304">
        <f t="shared" ca="1" si="77"/>
        <v>0</v>
      </c>
      <c r="R188" s="306">
        <f t="shared" ca="1" si="78"/>
        <v>0</v>
      </c>
      <c r="S188" s="307">
        <f t="shared" ca="1" si="79"/>
        <v>7.9769999999999968</v>
      </c>
      <c r="T188" s="304">
        <f t="shared" ca="1" si="59"/>
        <v>78.254369999999966</v>
      </c>
      <c r="U188" s="311">
        <f t="shared" ca="1" si="60"/>
        <v>0</v>
      </c>
      <c r="V188" s="306">
        <f t="shared" ca="1" si="61"/>
        <v>1.1987472814665439</v>
      </c>
      <c r="W188" s="304">
        <f t="shared" ca="1" si="62"/>
        <v>161.17598680359413</v>
      </c>
      <c r="Y188" s="314" t="str">
        <f t="shared" ca="1" si="80"/>
        <v/>
      </c>
      <c r="Z188" s="315" t="str">
        <f t="shared" ca="1" si="81"/>
        <v/>
      </c>
      <c r="AA188" s="316" t="str">
        <f t="shared" ca="1" si="82"/>
        <v/>
      </c>
      <c r="AC188" s="310" t="e">
        <f t="shared" ca="1" si="83"/>
        <v>#N/A</v>
      </c>
      <c r="AD188" s="323" t="e">
        <f t="shared" ca="1" si="84"/>
        <v>#N/A</v>
      </c>
      <c r="AE188" s="324">
        <f t="shared" ca="1" si="63"/>
        <v>216.62917362879031</v>
      </c>
      <c r="AG188" s="306">
        <f t="shared" ca="1" si="85"/>
        <v>-29.881416651184637</v>
      </c>
      <c r="AH188" s="304">
        <f t="shared" ca="1" si="86"/>
        <v>-20.26899320759777</v>
      </c>
    </row>
    <row r="189" spans="1:34" x14ac:dyDescent="0.2">
      <c r="A189" s="347">
        <f t="shared" ca="1" si="64"/>
        <v>0.01</v>
      </c>
      <c r="B189" s="304">
        <f t="shared" ca="1" si="65"/>
        <v>1.8500000000000014</v>
      </c>
      <c r="D189" s="306">
        <f t="shared" ca="1" si="66"/>
        <v>-4.0366214147985815</v>
      </c>
      <c r="E189" s="307">
        <f t="shared" ca="1" si="67"/>
        <v>-29.607759160267456</v>
      </c>
      <c r="F189" s="304">
        <f t="shared" ca="1" si="68"/>
        <v>29.881661850352501</v>
      </c>
      <c r="G189" s="306">
        <f t="shared" ca="1" si="69"/>
        <v>40.266293513501545</v>
      </c>
      <c r="H189" s="307">
        <f t="shared" ca="1" si="70"/>
        <v>197.38942715189185</v>
      </c>
      <c r="I189" s="304">
        <f t="shared" ca="1" si="71"/>
        <v>201.45461112783562</v>
      </c>
      <c r="J189" s="306">
        <f t="shared" ca="1" si="72"/>
        <v>42.927325054820145</v>
      </c>
      <c r="K189" s="307">
        <f t="shared" ca="1" si="73"/>
        <v>218.60454828826724</v>
      </c>
      <c r="L189" s="304">
        <f t="shared" ca="1" si="58"/>
        <v>222.7794958443877</v>
      </c>
      <c r="M189" s="306">
        <f t="shared" ca="1" si="74"/>
        <v>1.3695631797876793</v>
      </c>
      <c r="N189" s="304">
        <f t="shared" ca="1" si="75"/>
        <v>78.470189978350803</v>
      </c>
      <c r="P189" s="310">
        <f t="shared" ca="1" si="76"/>
        <v>23</v>
      </c>
      <c r="Q189" s="304">
        <f t="shared" ca="1" si="77"/>
        <v>0</v>
      </c>
      <c r="R189" s="306">
        <f t="shared" ca="1" si="78"/>
        <v>0</v>
      </c>
      <c r="S189" s="307">
        <f t="shared" ca="1" si="79"/>
        <v>7.9769999999999968</v>
      </c>
      <c r="T189" s="304">
        <f t="shared" ca="1" si="59"/>
        <v>78.254369999999966</v>
      </c>
      <c r="U189" s="311">
        <f t="shared" ca="1" si="60"/>
        <v>0</v>
      </c>
      <c r="V189" s="306">
        <f t="shared" ca="1" si="61"/>
        <v>1.1985104793198207</v>
      </c>
      <c r="W189" s="304">
        <f t="shared" ca="1" si="62"/>
        <v>160.66818707695646</v>
      </c>
      <c r="Y189" s="314" t="str">
        <f t="shared" ca="1" si="80"/>
        <v/>
      </c>
      <c r="Z189" s="315" t="str">
        <f t="shared" ca="1" si="81"/>
        <v/>
      </c>
      <c r="AA189" s="316" t="str">
        <f t="shared" ca="1" si="82"/>
        <v/>
      </c>
      <c r="AC189" s="310" t="e">
        <f t="shared" ca="1" si="83"/>
        <v>#N/A</v>
      </c>
      <c r="AD189" s="323" t="e">
        <f t="shared" ca="1" si="84"/>
        <v>#N/A</v>
      </c>
      <c r="AE189" s="324">
        <f t="shared" ca="1" si="63"/>
        <v>218.60454828826724</v>
      </c>
      <c r="AG189" s="306">
        <f t="shared" ca="1" si="85"/>
        <v>-29.817321172816758</v>
      </c>
      <c r="AH189" s="304">
        <f t="shared" ca="1" si="86"/>
        <v>-20.205087978387137</v>
      </c>
    </row>
    <row r="190" spans="1:34" x14ac:dyDescent="0.2">
      <c r="A190" s="347">
        <f t="shared" ca="1" si="64"/>
        <v>0.01</v>
      </c>
      <c r="B190" s="304">
        <f t="shared" ca="1" si="65"/>
        <v>1.8600000000000014</v>
      </c>
      <c r="D190" s="306">
        <f t="shared" ca="1" si="66"/>
        <v>-4.0258236207867419</v>
      </c>
      <c r="E190" s="307">
        <f t="shared" ca="1" si="67"/>
        <v>-29.544992942799603</v>
      </c>
      <c r="F190" s="304">
        <f t="shared" ca="1" si="68"/>
        <v>29.818012405520303</v>
      </c>
      <c r="G190" s="306">
        <f t="shared" ca="1" si="69"/>
        <v>40.226035277293676</v>
      </c>
      <c r="H190" s="307">
        <f t="shared" ca="1" si="70"/>
        <v>197.09397722246385</v>
      </c>
      <c r="I190" s="304">
        <f t="shared" ca="1" si="71"/>
        <v>201.15707735871283</v>
      </c>
      <c r="J190" s="306">
        <f t="shared" ca="1" si="72"/>
        <v>43.329786698774122</v>
      </c>
      <c r="K190" s="307">
        <f t="shared" ca="1" si="73"/>
        <v>220.57696531013903</v>
      </c>
      <c r="L190" s="304">
        <f t="shared" ca="1" si="58"/>
        <v>224.79249996561617</v>
      </c>
      <c r="M190" s="306">
        <f t="shared" ca="1" si="74"/>
        <v>1.3694657036902327</v>
      </c>
      <c r="N190" s="304">
        <f t="shared" ca="1" si="75"/>
        <v>78.464605009363694</v>
      </c>
      <c r="P190" s="310">
        <f t="shared" ca="1" si="76"/>
        <v>23</v>
      </c>
      <c r="Q190" s="304">
        <f t="shared" ca="1" si="77"/>
        <v>0</v>
      </c>
      <c r="R190" s="306">
        <f t="shared" ca="1" si="78"/>
        <v>0</v>
      </c>
      <c r="S190" s="307">
        <f t="shared" ca="1" si="79"/>
        <v>7.9769999999999968</v>
      </c>
      <c r="T190" s="304">
        <f t="shared" ca="1" si="59"/>
        <v>78.254369999999966</v>
      </c>
      <c r="U190" s="311">
        <f t="shared" ca="1" si="60"/>
        <v>0</v>
      </c>
      <c r="V190" s="306">
        <f t="shared" ca="1" si="61"/>
        <v>1.1982740778892238</v>
      </c>
      <c r="W190" s="304">
        <f t="shared" ca="1" si="62"/>
        <v>160.16234953452215</v>
      </c>
      <c r="Y190" s="314" t="str">
        <f t="shared" ca="1" si="80"/>
        <v/>
      </c>
      <c r="Z190" s="315" t="str">
        <f t="shared" ca="1" si="81"/>
        <v/>
      </c>
      <c r="AA190" s="316" t="str">
        <f t="shared" ca="1" si="82"/>
        <v/>
      </c>
      <c r="AC190" s="310" t="e">
        <f t="shared" ca="1" si="83"/>
        <v>#N/A</v>
      </c>
      <c r="AD190" s="323" t="e">
        <f t="shared" ca="1" si="84"/>
        <v>#N/A</v>
      </c>
      <c r="AE190" s="324">
        <f t="shared" ca="1" si="63"/>
        <v>220.57696531013903</v>
      </c>
      <c r="AG190" s="306">
        <f t="shared" ca="1" si="85"/>
        <v>-29.753472477880059</v>
      </c>
      <c r="AH190" s="304">
        <f t="shared" ca="1" si="86"/>
        <v>-20.141429995857656</v>
      </c>
    </row>
    <row r="191" spans="1:34" x14ac:dyDescent="0.2">
      <c r="A191" s="347">
        <f t="shared" ca="1" si="64"/>
        <v>0.01</v>
      </c>
      <c r="B191" s="304">
        <f t="shared" ca="1" si="65"/>
        <v>1.8700000000000014</v>
      </c>
      <c r="D191" s="306">
        <f t="shared" ca="1" si="66"/>
        <v>-4.0150665873231581</v>
      </c>
      <c r="E191" s="307">
        <f t="shared" ca="1" si="67"/>
        <v>-29.482469261598737</v>
      </c>
      <c r="F191" s="304">
        <f t="shared" ca="1" si="68"/>
        <v>29.754608944863538</v>
      </c>
      <c r="G191" s="306">
        <f t="shared" ca="1" si="69"/>
        <v>40.185884611420441</v>
      </c>
      <c r="H191" s="307">
        <f t="shared" ca="1" si="70"/>
        <v>196.79915252984787</v>
      </c>
      <c r="I191" s="304">
        <f t="shared" ca="1" si="71"/>
        <v>200.8601796237092</v>
      </c>
      <c r="J191" s="306">
        <f t="shared" ca="1" si="72"/>
        <v>43.73184629821769</v>
      </c>
      <c r="K191" s="307">
        <f t="shared" ca="1" si="73"/>
        <v>222.5464309589006</v>
      </c>
      <c r="L191" s="304">
        <f t="shared" ca="1" si="58"/>
        <v>226.8025315405356</v>
      </c>
      <c r="M191" s="306">
        <f t="shared" ca="1" si="74"/>
        <v>1.3693680368641734</v>
      </c>
      <c r="N191" s="304">
        <f t="shared" ca="1" si="75"/>
        <v>78.459009112432071</v>
      </c>
      <c r="P191" s="310">
        <f t="shared" ca="1" si="76"/>
        <v>23</v>
      </c>
      <c r="Q191" s="304">
        <f t="shared" ca="1" si="77"/>
        <v>0</v>
      </c>
      <c r="R191" s="306">
        <f t="shared" ca="1" si="78"/>
        <v>0</v>
      </c>
      <c r="S191" s="307">
        <f t="shared" ca="1" si="79"/>
        <v>7.9769999999999968</v>
      </c>
      <c r="T191" s="304">
        <f t="shared" ca="1" si="59"/>
        <v>78.254369999999966</v>
      </c>
      <c r="U191" s="311">
        <f t="shared" ca="1" si="60"/>
        <v>0</v>
      </c>
      <c r="V191" s="306">
        <f t="shared" ca="1" si="61"/>
        <v>1.1980380762031733</v>
      </c>
      <c r="W191" s="304">
        <f t="shared" ca="1" si="62"/>
        <v>159.6584641390352</v>
      </c>
      <c r="Y191" s="314" t="str">
        <f t="shared" ca="1" si="80"/>
        <v/>
      </c>
      <c r="Z191" s="315" t="str">
        <f t="shared" ca="1" si="81"/>
        <v/>
      </c>
      <c r="AA191" s="316" t="str">
        <f t="shared" ca="1" si="82"/>
        <v/>
      </c>
      <c r="AC191" s="310" t="e">
        <f t="shared" ca="1" si="83"/>
        <v>#N/A</v>
      </c>
      <c r="AD191" s="323" t="e">
        <f t="shared" ca="1" si="84"/>
        <v>#N/A</v>
      </c>
      <c r="AE191" s="324">
        <f t="shared" ca="1" si="63"/>
        <v>222.5464309589006</v>
      </c>
      <c r="AG191" s="306">
        <f t="shared" ca="1" si="85"/>
        <v>-29.689869298706007</v>
      </c>
      <c r="AH191" s="304">
        <f t="shared" ca="1" si="86"/>
        <v>-20.078017993546723</v>
      </c>
    </row>
    <row r="192" spans="1:34" x14ac:dyDescent="0.2">
      <c r="A192" s="347">
        <f t="shared" ca="1" si="64"/>
        <v>0.01</v>
      </c>
      <c r="B192" s="304">
        <f t="shared" ca="1" si="65"/>
        <v>1.8800000000000014</v>
      </c>
      <c r="D192" s="306">
        <f t="shared" ca="1" si="66"/>
        <v>-4.0043501045426213</v>
      </c>
      <c r="E192" s="307">
        <f t="shared" ca="1" si="67"/>
        <v>-29.420186875986765</v>
      </c>
      <c r="F192" s="304">
        <f t="shared" ca="1" si="68"/>
        <v>29.691450210081257</v>
      </c>
      <c r="G192" s="306">
        <f t="shared" ca="1" si="69"/>
        <v>40.145841110375017</v>
      </c>
      <c r="H192" s="307">
        <f t="shared" ca="1" si="70"/>
        <v>196.504950661088</v>
      </c>
      <c r="I192" s="304">
        <f t="shared" ca="1" si="71"/>
        <v>200.56391548026807</v>
      </c>
      <c r="J192" s="306">
        <f t="shared" ca="1" si="72"/>
        <v>44.133504926826667</v>
      </c>
      <c r="K192" s="307">
        <f t="shared" ca="1" si="73"/>
        <v>224.51295147485527</v>
      </c>
      <c r="L192" s="304">
        <f t="shared" ca="1" si="58"/>
        <v>228.80959690772795</v>
      </c>
      <c r="M192" s="306">
        <f t="shared" ca="1" si="74"/>
        <v>1.3692701789634878</v>
      </c>
      <c r="N192" s="304">
        <f t="shared" ca="1" si="75"/>
        <v>78.453402267730766</v>
      </c>
      <c r="P192" s="310">
        <f t="shared" ca="1" si="76"/>
        <v>23</v>
      </c>
      <c r="Q192" s="304">
        <f t="shared" ca="1" si="77"/>
        <v>0</v>
      </c>
      <c r="R192" s="306">
        <f t="shared" ca="1" si="78"/>
        <v>0</v>
      </c>
      <c r="S192" s="307">
        <f t="shared" ca="1" si="79"/>
        <v>7.9769999999999968</v>
      </c>
      <c r="T192" s="304">
        <f t="shared" ca="1" si="59"/>
        <v>78.254369999999966</v>
      </c>
      <c r="U192" s="311">
        <f t="shared" ca="1" si="60"/>
        <v>0</v>
      </c>
      <c r="V192" s="306">
        <f t="shared" ca="1" si="61"/>
        <v>1.1978024732940091</v>
      </c>
      <c r="W192" s="304">
        <f t="shared" ca="1" si="62"/>
        <v>159.15652091804753</v>
      </c>
      <c r="Y192" s="314" t="str">
        <f t="shared" ca="1" si="80"/>
        <v/>
      </c>
      <c r="Z192" s="315" t="str">
        <f t="shared" ca="1" si="81"/>
        <v/>
      </c>
      <c r="AA192" s="316" t="str">
        <f t="shared" ca="1" si="82"/>
        <v/>
      </c>
      <c r="AC192" s="310" t="e">
        <f t="shared" ca="1" si="83"/>
        <v>#N/A</v>
      </c>
      <c r="AD192" s="323" t="e">
        <f t="shared" ca="1" si="84"/>
        <v>#N/A</v>
      </c>
      <c r="AE192" s="324">
        <f t="shared" ca="1" si="63"/>
        <v>224.51295147485527</v>
      </c>
      <c r="AG192" s="306">
        <f t="shared" ca="1" si="85"/>
        <v>-29.62651037580973</v>
      </c>
      <c r="AH192" s="304">
        <f t="shared" ca="1" si="86"/>
        <v>-20.014850713179801</v>
      </c>
    </row>
    <row r="193" spans="1:34" x14ac:dyDescent="0.2">
      <c r="A193" s="347">
        <f t="shared" ca="1" si="64"/>
        <v>0.01</v>
      </c>
      <c r="B193" s="304">
        <f t="shared" ca="1" si="65"/>
        <v>1.8900000000000015</v>
      </c>
      <c r="D193" s="306">
        <f t="shared" ca="1" si="66"/>
        <v>-3.9936739639337544</v>
      </c>
      <c r="E193" s="307">
        <f t="shared" ca="1" si="67"/>
        <v>-29.358144553296256</v>
      </c>
      <c r="F193" s="304">
        <f t="shared" ca="1" si="68"/>
        <v>29.628534950996837</v>
      </c>
      <c r="G193" s="306">
        <f t="shared" ca="1" si="69"/>
        <v>40.105904370735679</v>
      </c>
      <c r="H193" s="307">
        <f t="shared" ca="1" si="70"/>
        <v>196.21136921555504</v>
      </c>
      <c r="I193" s="304">
        <f t="shared" ca="1" si="71"/>
        <v>200.26828249834634</v>
      </c>
      <c r="J193" s="306">
        <f t="shared" ca="1" si="72"/>
        <v>44.534763654232222</v>
      </c>
      <c r="K193" s="307">
        <f t="shared" ca="1" si="73"/>
        <v>226.47653307423849</v>
      </c>
      <c r="L193" s="304">
        <f t="shared" ca="1" si="58"/>
        <v>230.81370238152016</v>
      </c>
      <c r="M193" s="306">
        <f t="shared" ca="1" si="74"/>
        <v>1.3691721296410901</v>
      </c>
      <c r="N193" s="304">
        <f t="shared" ca="1" si="75"/>
        <v>78.447784455373267</v>
      </c>
      <c r="P193" s="310">
        <f t="shared" ca="1" si="76"/>
        <v>23</v>
      </c>
      <c r="Q193" s="304">
        <f t="shared" ca="1" si="77"/>
        <v>0</v>
      </c>
      <c r="R193" s="306">
        <f t="shared" ca="1" si="78"/>
        <v>0</v>
      </c>
      <c r="S193" s="307">
        <f t="shared" ca="1" si="79"/>
        <v>7.9769999999999968</v>
      </c>
      <c r="T193" s="304">
        <f t="shared" ca="1" si="59"/>
        <v>78.254369999999966</v>
      </c>
      <c r="U193" s="311">
        <f t="shared" ca="1" si="60"/>
        <v>0</v>
      </c>
      <c r="V193" s="306">
        <f t="shared" ca="1" si="61"/>
        <v>1.1975672681979699</v>
      </c>
      <c r="W193" s="304">
        <f t="shared" ca="1" si="62"/>
        <v>158.65650996341611</v>
      </c>
      <c r="Y193" s="314" t="str">
        <f t="shared" ca="1" si="80"/>
        <v/>
      </c>
      <c r="Z193" s="315" t="str">
        <f t="shared" ca="1" si="81"/>
        <v/>
      </c>
      <c r="AA193" s="316" t="str">
        <f t="shared" ca="1" si="82"/>
        <v/>
      </c>
      <c r="AC193" s="310" t="e">
        <f t="shared" ca="1" si="83"/>
        <v>#N/A</v>
      </c>
      <c r="AD193" s="323" t="e">
        <f t="shared" ca="1" si="84"/>
        <v>#N/A</v>
      </c>
      <c r="AE193" s="324">
        <f t="shared" ca="1" si="63"/>
        <v>226.47653307423849</v>
      </c>
      <c r="AG193" s="306">
        <f t="shared" ca="1" si="85"/>
        <v>-29.563394457826288</v>
      </c>
      <c r="AH193" s="304">
        <f t="shared" ca="1" si="86"/>
        <v>-19.951926904606694</v>
      </c>
    </row>
    <row r="194" spans="1:34" x14ac:dyDescent="0.2">
      <c r="A194" s="347">
        <f t="shared" ca="1" si="64"/>
        <v>0.01</v>
      </c>
      <c r="B194" s="304">
        <f t="shared" ca="1" si="65"/>
        <v>1.9000000000000015</v>
      </c>
      <c r="D194" s="306">
        <f t="shared" ca="1" si="66"/>
        <v>-3.9830379583285089</v>
      </c>
      <c r="E194" s="307">
        <f t="shared" ca="1" si="67"/>
        <v>-29.296341068808324</v>
      </c>
      <c r="F194" s="304">
        <f t="shared" ca="1" si="68"/>
        <v>29.565861925494932</v>
      </c>
      <c r="G194" s="306">
        <f t="shared" ca="1" si="69"/>
        <v>40.066073991152393</v>
      </c>
      <c r="H194" s="307">
        <f t="shared" ca="1" si="70"/>
        <v>195.91840580486695</v>
      </c>
      <c r="I194" s="304">
        <f t="shared" ca="1" si="71"/>
        <v>199.97327826033413</v>
      </c>
      <c r="J194" s="306">
        <f t="shared" ca="1" si="72"/>
        <v>44.935623546041661</v>
      </c>
      <c r="K194" s="307">
        <f t="shared" ca="1" si="73"/>
        <v>228.43718194934061</v>
      </c>
      <c r="L194" s="304">
        <f t="shared" ca="1" si="58"/>
        <v>232.81485425210249</v>
      </c>
      <c r="M194" s="306">
        <f t="shared" ca="1" si="74"/>
        <v>1.3690738885488194</v>
      </c>
      <c r="N194" s="304">
        <f t="shared" ca="1" si="75"/>
        <v>78.442155655411398</v>
      </c>
      <c r="P194" s="310">
        <f t="shared" ca="1" si="76"/>
        <v>23</v>
      </c>
      <c r="Q194" s="304">
        <f t="shared" ca="1" si="77"/>
        <v>0</v>
      </c>
      <c r="R194" s="306">
        <f t="shared" ca="1" si="78"/>
        <v>0</v>
      </c>
      <c r="S194" s="307">
        <f t="shared" ca="1" si="79"/>
        <v>7.9769999999999968</v>
      </c>
      <c r="T194" s="304">
        <f t="shared" ca="1" si="59"/>
        <v>78.254369999999966</v>
      </c>
      <c r="U194" s="311">
        <f t="shared" ca="1" si="60"/>
        <v>0</v>
      </c>
      <c r="V194" s="306">
        <f t="shared" ca="1" si="61"/>
        <v>1.1973324599551716</v>
      </c>
      <c r="W194" s="304">
        <f t="shared" ca="1" si="62"/>
        <v>158.15842143080383</v>
      </c>
      <c r="Y194" s="314" t="str">
        <f t="shared" ca="1" si="80"/>
        <v/>
      </c>
      <c r="Z194" s="315" t="str">
        <f t="shared" ca="1" si="81"/>
        <v/>
      </c>
      <c r="AA194" s="316" t="str">
        <f t="shared" ca="1" si="82"/>
        <v/>
      </c>
      <c r="AC194" s="310" t="e">
        <f t="shared" ca="1" si="83"/>
        <v>#N/A</v>
      </c>
      <c r="AD194" s="323" t="e">
        <f t="shared" ca="1" si="84"/>
        <v>#N/A</v>
      </c>
      <c r="AE194" s="324">
        <f t="shared" ca="1" si="63"/>
        <v>228.43718194934061</v>
      </c>
      <c r="AG194" s="306">
        <f t="shared" ca="1" si="85"/>
        <v>-29.500520301447612</v>
      </c>
      <c r="AH194" s="304">
        <f t="shared" ca="1" si="86"/>
        <v>-19.889245325738521</v>
      </c>
    </row>
    <row r="195" spans="1:34" x14ac:dyDescent="0.2">
      <c r="A195" s="347">
        <f t="shared" ca="1" si="64"/>
        <v>0.01</v>
      </c>
      <c r="B195" s="304">
        <f t="shared" ca="1" si="65"/>
        <v>1.9100000000000015</v>
      </c>
      <c r="D195" s="306">
        <f t="shared" ca="1" si="66"/>
        <v>-3.9724418818917298</v>
      </c>
      <c r="E195" s="307">
        <f t="shared" ca="1" si="67"/>
        <v>-29.234775205690887</v>
      </c>
      <c r="F195" s="304">
        <f t="shared" ca="1" si="68"/>
        <v>29.503429899458911</v>
      </c>
      <c r="G195" s="306">
        <f t="shared" ca="1" si="69"/>
        <v>40.026349572333473</v>
      </c>
      <c r="H195" s="307">
        <f t="shared" ca="1" si="70"/>
        <v>195.62605805281004</v>
      </c>
      <c r="I195" s="304">
        <f t="shared" ca="1" si="71"/>
        <v>199.67890036097467</v>
      </c>
      <c r="J195" s="306">
        <f t="shared" ca="1" si="72"/>
        <v>45.336085663859087</v>
      </c>
      <c r="K195" s="307">
        <f t="shared" ca="1" si="73"/>
        <v>230.39490426862901</v>
      </c>
      <c r="L195" s="304">
        <f t="shared" ca="1" si="58"/>
        <v>234.81305878564652</v>
      </c>
      <c r="M195" s="306">
        <f t="shared" ca="1" si="74"/>
        <v>1.3689754553374356</v>
      </c>
      <c r="N195" s="304">
        <f t="shared" ca="1" si="75"/>
        <v>78.436515847835182</v>
      </c>
      <c r="P195" s="310">
        <f t="shared" ca="1" si="76"/>
        <v>23</v>
      </c>
      <c r="Q195" s="304">
        <f t="shared" ca="1" si="77"/>
        <v>0</v>
      </c>
      <c r="R195" s="306">
        <f t="shared" ca="1" si="78"/>
        <v>0</v>
      </c>
      <c r="S195" s="307">
        <f t="shared" ca="1" si="79"/>
        <v>7.9769999999999968</v>
      </c>
      <c r="T195" s="304">
        <f t="shared" ca="1" si="59"/>
        <v>78.254369999999966</v>
      </c>
      <c r="U195" s="311">
        <f t="shared" ca="1" si="60"/>
        <v>0</v>
      </c>
      <c r="V195" s="306">
        <f t="shared" ca="1" si="61"/>
        <v>1.197098047609588</v>
      </c>
      <c r="W195" s="304">
        <f t="shared" ca="1" si="62"/>
        <v>157.66224553918548</v>
      </c>
      <c r="Y195" s="314" t="str">
        <f t="shared" ca="1" si="80"/>
        <v/>
      </c>
      <c r="Z195" s="315" t="str">
        <f t="shared" ca="1" si="81"/>
        <v/>
      </c>
      <c r="AA195" s="316" t="str">
        <f t="shared" ca="1" si="82"/>
        <v/>
      </c>
      <c r="AC195" s="310" t="e">
        <f t="shared" ca="1" si="83"/>
        <v>#N/A</v>
      </c>
      <c r="AD195" s="323" t="e">
        <f t="shared" ca="1" si="84"/>
        <v>#N/A</v>
      </c>
      <c r="AE195" s="324">
        <f t="shared" ca="1" si="63"/>
        <v>230.39490426862901</v>
      </c>
      <c r="AG195" s="306">
        <f t="shared" ca="1" si="85"/>
        <v>-29.437886671359905</v>
      </c>
      <c r="AH195" s="304">
        <f t="shared" ca="1" si="86"/>
        <v>-19.82680474248513</v>
      </c>
    </row>
    <row r="196" spans="1:34" x14ac:dyDescent="0.2">
      <c r="A196" s="347">
        <f t="shared" ca="1" si="64"/>
        <v>0.01</v>
      </c>
      <c r="B196" s="304">
        <f t="shared" ca="1" si="65"/>
        <v>1.9200000000000015</v>
      </c>
      <c r="D196" s="306">
        <f t="shared" ca="1" si="66"/>
        <v>-3.9618855301108375</v>
      </c>
      <c r="E196" s="307">
        <f t="shared" ca="1" si="67"/>
        <v>-29.173445754937639</v>
      </c>
      <c r="F196" s="304">
        <f t="shared" ca="1" si="68"/>
        <v>29.44123764670892</v>
      </c>
      <c r="G196" s="306">
        <f t="shared" ca="1" si="69"/>
        <v>39.986730717032366</v>
      </c>
      <c r="H196" s="307">
        <f t="shared" ca="1" si="70"/>
        <v>195.33432359526066</v>
      </c>
      <c r="I196" s="304">
        <f t="shared" ca="1" si="71"/>
        <v>199.38514640728496</v>
      </c>
      <c r="J196" s="306">
        <f t="shared" ca="1" si="72"/>
        <v>45.736151065305918</v>
      </c>
      <c r="K196" s="307">
        <f t="shared" ca="1" si="73"/>
        <v>232.34970617686935</v>
      </c>
      <c r="L196" s="304">
        <f t="shared" ref="L196:L259" ca="1" si="87">SQRT(pos_x^2+pos_z^2)</f>
        <v>236.80832222442268</v>
      </c>
      <c r="M196" s="306">
        <f t="shared" ca="1" si="74"/>
        <v>1.3688768296566167</v>
      </c>
      <c r="N196" s="304">
        <f t="shared" ca="1" si="75"/>
        <v>78.430865012572667</v>
      </c>
      <c r="P196" s="310">
        <f t="shared" ca="1" si="76"/>
        <v>23</v>
      </c>
      <c r="Q196" s="304">
        <f t="shared" ca="1" si="77"/>
        <v>0</v>
      </c>
      <c r="R196" s="306">
        <f t="shared" ca="1" si="78"/>
        <v>0</v>
      </c>
      <c r="S196" s="307">
        <f t="shared" ca="1" si="79"/>
        <v>7.9769999999999968</v>
      </c>
      <c r="T196" s="304">
        <f t="shared" ref="T196:T259" ca="1" si="88">m*g</f>
        <v>78.254369999999966</v>
      </c>
      <c r="U196" s="311">
        <f t="shared" ref="U196:U259" ca="1" si="89">IF(pos_xz&lt;L_rampe,Poids*COS(Beta),0)</f>
        <v>0</v>
      </c>
      <c r="V196" s="306">
        <f t="shared" ref="V196:V259" ca="1" si="90">Rho_moyen*(20000-Alt_rampe-pos_z)/(20000+Alt_rampe+pos_z)</f>
        <v>1.1968640302090305</v>
      </c>
      <c r="W196" s="304">
        <f t="shared" ref="W196:W259" ca="1" si="91">1/2*Rho*Sref*Cx*vit_xz^2</f>
        <v>157.16797257035799</v>
      </c>
      <c r="Y196" s="314" t="str">
        <f t="shared" ca="1" si="80"/>
        <v/>
      </c>
      <c r="Z196" s="315" t="str">
        <f t="shared" ca="1" si="81"/>
        <v/>
      </c>
      <c r="AA196" s="316" t="str">
        <f t="shared" ca="1" si="82"/>
        <v/>
      </c>
      <c r="AC196" s="310" t="e">
        <f t="shared" ca="1" si="83"/>
        <v>#N/A</v>
      </c>
      <c r="AD196" s="323" t="e">
        <f t="shared" ca="1" si="84"/>
        <v>#N/A</v>
      </c>
      <c r="AE196" s="324">
        <f t="shared" ref="AE196:AE259" ca="1" si="92">IF(t&lt;T_para, pos_z, NA())</f>
        <v>232.34970617686935</v>
      </c>
      <c r="AG196" s="306">
        <f t="shared" ca="1" si="85"/>
        <v>-29.375492340181726</v>
      </c>
      <c r="AH196" s="304">
        <f t="shared" ca="1" si="86"/>
        <v>-19.764603928693184</v>
      </c>
    </row>
    <row r="197" spans="1:34" x14ac:dyDescent="0.2">
      <c r="A197" s="347">
        <f t="shared" ref="A197:A260" ca="1" si="93">IF(B196+0.01&lt;=T_ini+ROUNDUP(Temps_fin_propu,0), 0.01, IF(K196&gt;0, 0.1, 0.0001))</f>
        <v>0.01</v>
      </c>
      <c r="B197" s="304">
        <f t="shared" ref="B197:B260" ca="1" si="94">B196+pas</f>
        <v>1.9300000000000015</v>
      </c>
      <c r="D197" s="306">
        <f t="shared" ref="D197:D260" ca="1" si="95">IF(AND(L196&lt;L_rampe,Poussee&lt;Poids*SIN(M196)),0,(-W196+Poussee)/m*COS(M196)-U196/m*SIN(M196))</f>
        <v>-3.9513686997855899</v>
      </c>
      <c r="E197" s="307">
        <f t="shared" ref="E197:E260" ca="1" si="96">IF(AND(L196&lt;L_rampe,Poussee&lt;Poids*SIN(M196)),0,(-W196+Poussee)/m*SIN(M196)+U196/m*COS(M196)-Poids/m)</f>
        <v>-29.112351515307495</v>
      </c>
      <c r="F197" s="304">
        <f t="shared" ref="F197:F260" ca="1" si="97">SQRT(acc_x^2+acc_z^2)</f>
        <v>29.379283948940483</v>
      </c>
      <c r="G197" s="306">
        <f t="shared" ref="G197:G260" ca="1" si="98">G196+acc_x*pas</f>
        <v>39.947217030034508</v>
      </c>
      <c r="H197" s="307">
        <f t="shared" ref="H197:H260" ca="1" si="99">H196+acc_z*pas</f>
        <v>195.04320008010757</v>
      </c>
      <c r="I197" s="304">
        <f t="shared" ref="I197:I260" ca="1" si="100">SQRT(vit_x^2+vit_z^2)</f>
        <v>199.09201401847727</v>
      </c>
      <c r="J197" s="306">
        <f t="shared" ref="J197:J260" ca="1" si="101">J196+0.5*(vit_x+G196)*pas*(K196&gt;=0)</f>
        <v>46.135820804041252</v>
      </c>
      <c r="K197" s="307">
        <f t="shared" ref="K197:K260" ca="1" si="102">K196+0.5*(vit_z+H196)*pas</f>
        <v>234.30159379524619</v>
      </c>
      <c r="L197" s="304">
        <f t="shared" ca="1" si="87"/>
        <v>238.80065078691715</v>
      </c>
      <c r="M197" s="306">
        <f t="shared" ref="M197:M260" ca="1" si="103">IF(AND(L196&gt;L_rampe,G197&gt;0),ATAN2(G197,H197),$M$4)</f>
        <v>1.3687780111549546</v>
      </c>
      <c r="N197" s="304">
        <f t="shared" ref="N197:N260" ca="1" si="104">DEGREES(Beta)</f>
        <v>78.425203129489617</v>
      </c>
      <c r="P197" s="310">
        <f t="shared" ref="P197:P260" ca="1" si="105">MATCH(t-pas/2-T_ini,CdP_t)</f>
        <v>23</v>
      </c>
      <c r="Q197" s="304">
        <f t="shared" ref="Q197:Q260" ca="1" si="106">(INDEX(CdP,2,i_P+1)-INDEX(CdP,2,i_P+0))/(INDEX(CdP,1,i_P+1)-INDEX(CdP,1,i_P+0))*(t-pas/2-T_ini-INDEX(CdP,1,i_P+0))+INDEX(CdP,2,i_P+0)</f>
        <v>0</v>
      </c>
      <c r="R197" s="306">
        <f t="shared" ref="R197:R260" ca="1" si="107">Poussee/(g*ISP)</f>
        <v>0</v>
      </c>
      <c r="S197" s="307">
        <f t="shared" ref="S197:S260" ca="1" si="108">S196-Débit*pas</f>
        <v>7.9769999999999968</v>
      </c>
      <c r="T197" s="304">
        <f t="shared" ca="1" si="88"/>
        <v>78.254369999999966</v>
      </c>
      <c r="U197" s="311">
        <f t="shared" ca="1" si="89"/>
        <v>0</v>
      </c>
      <c r="V197" s="306">
        <f t="shared" ca="1" si="90"/>
        <v>1.1966304068051263</v>
      </c>
      <c r="W197" s="304">
        <f t="shared" ca="1" si="91"/>
        <v>156.67559286845511</v>
      </c>
      <c r="Y197" s="314" t="str">
        <f t="shared" ref="Y197:Y260" ca="1" si="109">IF(AND(pos_z&lt;=0,K196&gt;0),"Impact balistique","") &amp; IF(AND(H198&lt;0,vit_z&gt;=0),"Apogée","") &amp; IF(AND(Poussee=0,Q196&gt;0),"Fin de propulsion","") &amp; IF(AND(L198&gt;L_rampe,pos_xz&lt;=L_rampe),"Sortie de rampe","")</f>
        <v/>
      </c>
      <c r="Z197" s="315" t="str">
        <f t="shared" ref="Z197:Z260" ca="1" si="110">IF(ABS(t-T_para)&lt;pas/2,"Para","")</f>
        <v/>
      </c>
      <c r="AA197" s="316" t="str">
        <f t="shared" ref="AA197:AA260" ca="1" si="111">IF(ABS(t-T_satellite)&lt;pas/2,"Satellite","")</f>
        <v/>
      </c>
      <c r="AC197" s="310" t="e">
        <f t="shared" ref="AC197:AC260" ca="1" si="112">IF(ABS(t-ROUND(t,0))&lt;0.001,t,NA())</f>
        <v>#N/A</v>
      </c>
      <c r="AD197" s="323" t="e">
        <f t="shared" ref="AD197:AD260" ca="1" si="113">IF(ABS(t-ROUND(t,0))&lt;0.001,pos_x,NA())</f>
        <v>#N/A</v>
      </c>
      <c r="AE197" s="324">
        <f t="shared" ca="1" si="92"/>
        <v>234.30159379524619</v>
      </c>
      <c r="AG197" s="306">
        <f t="shared" ref="AG197:AG260" ca="1" si="114">IF(AND(L196&lt;L_rampe,Poussee&lt;Poids*SIN(M196)),0,(-W196+Poussee)/m-Poids*SIN(M196)/m)</f>
        <v>-29.313336088402529</v>
      </c>
      <c r="AH197" s="304">
        <f t="shared" ref="AH197:AH260" ca="1" si="115">IF(AND(L196&lt;L_rampe,Poussee&lt;Poids*SIN(M196)), g*SIN(M196), (-W196+Poussee)/m)</f>
        <v>-19.702641666084752</v>
      </c>
    </row>
    <row r="198" spans="1:34" x14ac:dyDescent="0.2">
      <c r="A198" s="347">
        <f t="shared" ca="1" si="93"/>
        <v>0.01</v>
      </c>
      <c r="B198" s="304">
        <f t="shared" ca="1" si="94"/>
        <v>1.9400000000000015</v>
      </c>
      <c r="D198" s="306">
        <f t="shared" ca="1" si="95"/>
        <v>-3.9408911890179494</v>
      </c>
      <c r="E198" s="307">
        <f t="shared" ca="1" si="96"/>
        <v>-29.051491293264604</v>
      </c>
      <c r="F198" s="304">
        <f t="shared" ca="1" si="97"/>
        <v>29.317567595663668</v>
      </c>
      <c r="G198" s="306">
        <f t="shared" ca="1" si="98"/>
        <v>39.907808118144331</v>
      </c>
      <c r="H198" s="307">
        <f t="shared" ca="1" si="99"/>
        <v>194.75268516717492</v>
      </c>
      <c r="I198" s="304">
        <f t="shared" ca="1" si="100"/>
        <v>198.79950082588081</v>
      </c>
      <c r="J198" s="306">
        <f t="shared" ca="1" si="101"/>
        <v>46.535095929782145</v>
      </c>
      <c r="K198" s="307">
        <f t="shared" ca="1" si="102"/>
        <v>236.2505732214826</v>
      </c>
      <c r="L198" s="304">
        <f t="shared" ca="1" si="87"/>
        <v>240.79005066794835</v>
      </c>
      <c r="M198" s="306">
        <f t="shared" ca="1" si="103"/>
        <v>1.3686789994799518</v>
      </c>
      <c r="N198" s="304">
        <f t="shared" ca="1" si="104"/>
        <v>78.419530178389437</v>
      </c>
      <c r="P198" s="310">
        <f t="shared" ca="1" si="105"/>
        <v>23</v>
      </c>
      <c r="Q198" s="304">
        <f t="shared" ca="1" si="106"/>
        <v>0</v>
      </c>
      <c r="R198" s="306">
        <f t="shared" ca="1" si="107"/>
        <v>0</v>
      </c>
      <c r="S198" s="307">
        <f t="shared" ca="1" si="108"/>
        <v>7.9769999999999968</v>
      </c>
      <c r="T198" s="304">
        <f t="shared" ca="1" si="88"/>
        <v>78.254369999999966</v>
      </c>
      <c r="U198" s="311">
        <f t="shared" ca="1" si="89"/>
        <v>0</v>
      </c>
      <c r="V198" s="306">
        <f t="shared" ca="1" si="90"/>
        <v>1.1963971764533017</v>
      </c>
      <c r="W198" s="304">
        <f t="shared" ca="1" si="91"/>
        <v>156.18509683946681</v>
      </c>
      <c r="Y198" s="314" t="str">
        <f t="shared" ca="1" si="109"/>
        <v/>
      </c>
      <c r="Z198" s="315" t="str">
        <f t="shared" ca="1" si="110"/>
        <v/>
      </c>
      <c r="AA198" s="316" t="str">
        <f t="shared" ca="1" si="111"/>
        <v/>
      </c>
      <c r="AC198" s="310" t="e">
        <f t="shared" ca="1" si="112"/>
        <v>#N/A</v>
      </c>
      <c r="AD198" s="323" t="e">
        <f t="shared" ca="1" si="113"/>
        <v>#N/A</v>
      </c>
      <c r="AE198" s="324">
        <f t="shared" ca="1" si="92"/>
        <v>236.2505732214826</v>
      </c>
      <c r="AG198" s="306">
        <f t="shared" ca="1" si="114"/>
        <v>-29.251416704321834</v>
      </c>
      <c r="AH198" s="304">
        <f t="shared" ca="1" si="115"/>
        <v>-19.640916744196463</v>
      </c>
    </row>
    <row r="199" spans="1:34" x14ac:dyDescent="0.2">
      <c r="A199" s="347">
        <f t="shared" ca="1" si="93"/>
        <v>0.01</v>
      </c>
      <c r="B199" s="304">
        <f t="shared" ca="1" si="94"/>
        <v>1.9500000000000015</v>
      </c>
      <c r="D199" s="306">
        <f t="shared" ca="1" si="95"/>
        <v>-3.9304527972020371</v>
      </c>
      <c r="E199" s="307">
        <f t="shared" ca="1" si="96"/>
        <v>-28.990863902918946</v>
      </c>
      <c r="F199" s="304">
        <f t="shared" ca="1" si="97"/>
        <v>29.256087384142841</v>
      </c>
      <c r="G199" s="306">
        <f t="shared" ca="1" si="98"/>
        <v>39.86850359017231</v>
      </c>
      <c r="H199" s="307">
        <f t="shared" ca="1" si="99"/>
        <v>194.46277652814572</v>
      </c>
      <c r="I199" s="304">
        <f t="shared" ca="1" si="100"/>
        <v>198.5076044728643</v>
      </c>
      <c r="J199" s="306">
        <f t="shared" ca="1" si="101"/>
        <v>46.933977488323727</v>
      </c>
      <c r="K199" s="307">
        <f t="shared" ca="1" si="102"/>
        <v>238.19665052995919</v>
      </c>
      <c r="L199" s="304">
        <f t="shared" ca="1" si="87"/>
        <v>242.776528038783</v>
      </c>
      <c r="M199" s="306">
        <f t="shared" ca="1" si="103"/>
        <v>1.368579794278018</v>
      </c>
      <c r="N199" s="304">
        <f t="shared" ca="1" si="104"/>
        <v>78.41384613901289</v>
      </c>
      <c r="P199" s="310">
        <f t="shared" ca="1" si="105"/>
        <v>23</v>
      </c>
      <c r="Q199" s="304">
        <f t="shared" ca="1" si="106"/>
        <v>0</v>
      </c>
      <c r="R199" s="306">
        <f t="shared" ca="1" si="107"/>
        <v>0</v>
      </c>
      <c r="S199" s="307">
        <f t="shared" ca="1" si="108"/>
        <v>7.9769999999999968</v>
      </c>
      <c r="T199" s="304">
        <f t="shared" ca="1" si="88"/>
        <v>78.254369999999966</v>
      </c>
      <c r="U199" s="311">
        <f t="shared" ca="1" si="89"/>
        <v>0</v>
      </c>
      <c r="V199" s="306">
        <f t="shared" ca="1" si="90"/>
        <v>1.1961643382127567</v>
      </c>
      <c r="W199" s="304">
        <f t="shared" ca="1" si="91"/>
        <v>155.69647495076188</v>
      </c>
      <c r="Y199" s="314" t="str">
        <f t="shared" ca="1" si="109"/>
        <v/>
      </c>
      <c r="Z199" s="315" t="str">
        <f t="shared" ca="1" si="110"/>
        <v/>
      </c>
      <c r="AA199" s="316" t="str">
        <f t="shared" ca="1" si="111"/>
        <v/>
      </c>
      <c r="AC199" s="310" t="e">
        <f t="shared" ca="1" si="112"/>
        <v>#N/A</v>
      </c>
      <c r="AD199" s="323" t="e">
        <f t="shared" ca="1" si="113"/>
        <v>#N/A</v>
      </c>
      <c r="AE199" s="324">
        <f t="shared" ca="1" si="92"/>
        <v>238.19665052995919</v>
      </c>
      <c r="AG199" s="306">
        <f t="shared" ca="1" si="114"/>
        <v>-29.18973298398895</v>
      </c>
      <c r="AH199" s="304">
        <f t="shared" ca="1" si="115"/>
        <v>-19.579427960319276</v>
      </c>
    </row>
    <row r="200" spans="1:34" x14ac:dyDescent="0.2">
      <c r="A200" s="347">
        <f t="shared" ca="1" si="93"/>
        <v>0.01</v>
      </c>
      <c r="B200" s="304">
        <f t="shared" ca="1" si="94"/>
        <v>1.9600000000000015</v>
      </c>
      <c r="D200" s="306">
        <f t="shared" ca="1" si="95"/>
        <v>-3.9200533250141594</v>
      </c>
      <c r="E200" s="307">
        <f t="shared" ca="1" si="96"/>
        <v>-28.930468165967312</v>
      </c>
      <c r="F200" s="304">
        <f t="shared" ca="1" si="97"/>
        <v>29.194842119336808</v>
      </c>
      <c r="G200" s="306">
        <f t="shared" ca="1" si="98"/>
        <v>39.829303056922171</v>
      </c>
      <c r="H200" s="307">
        <f t="shared" ca="1" si="99"/>
        <v>194.17347184648605</v>
      </c>
      <c r="I200" s="304">
        <f t="shared" ca="1" si="100"/>
        <v>198.21632261475912</v>
      </c>
      <c r="J200" s="306">
        <f t="shared" ca="1" si="101"/>
        <v>47.332466521559198</v>
      </c>
      <c r="K200" s="307">
        <f t="shared" ca="1" si="102"/>
        <v>240.13983177183235</v>
      </c>
      <c r="L200" s="304">
        <f t="shared" ca="1" si="87"/>
        <v>244.76008904725145</v>
      </c>
      <c r="M200" s="306">
        <f t="shared" ca="1" si="103"/>
        <v>1.3684803951944664</v>
      </c>
      <c r="N200" s="304">
        <f t="shared" ca="1" si="104"/>
        <v>78.408150991037914</v>
      </c>
      <c r="P200" s="310">
        <f t="shared" ca="1" si="105"/>
        <v>23</v>
      </c>
      <c r="Q200" s="304">
        <f t="shared" ca="1" si="106"/>
        <v>0</v>
      </c>
      <c r="R200" s="306">
        <f t="shared" ca="1" si="107"/>
        <v>0</v>
      </c>
      <c r="S200" s="307">
        <f t="shared" ca="1" si="108"/>
        <v>7.9769999999999968</v>
      </c>
      <c r="T200" s="304">
        <f t="shared" ca="1" si="88"/>
        <v>78.254369999999966</v>
      </c>
      <c r="U200" s="311">
        <f t="shared" ca="1" si="89"/>
        <v>0</v>
      </c>
      <c r="V200" s="306">
        <f t="shared" ca="1" si="90"/>
        <v>1.1959318911464512</v>
      </c>
      <c r="W200" s="304">
        <f t="shared" ca="1" si="91"/>
        <v>155.20971773061655</v>
      </c>
      <c r="Y200" s="314" t="str">
        <f t="shared" ca="1" si="109"/>
        <v/>
      </c>
      <c r="Z200" s="315" t="str">
        <f t="shared" ca="1" si="110"/>
        <v/>
      </c>
      <c r="AA200" s="316" t="str">
        <f t="shared" ca="1" si="111"/>
        <v/>
      </c>
      <c r="AC200" s="310" t="e">
        <f t="shared" ca="1" si="112"/>
        <v>#N/A</v>
      </c>
      <c r="AD200" s="323" t="e">
        <f t="shared" ca="1" si="113"/>
        <v>#N/A</v>
      </c>
      <c r="AE200" s="324">
        <f t="shared" ca="1" si="92"/>
        <v>240.13983177183235</v>
      </c>
      <c r="AG200" s="306">
        <f t="shared" ca="1" si="114"/>
        <v>-29.128283731143135</v>
      </c>
      <c r="AH200" s="304">
        <f t="shared" ca="1" si="115"/>
        <v>-19.51817411943863</v>
      </c>
    </row>
    <row r="201" spans="1:34" x14ac:dyDescent="0.2">
      <c r="A201" s="347">
        <f t="shared" ca="1" si="93"/>
        <v>0.01</v>
      </c>
      <c r="B201" s="304">
        <f t="shared" ca="1" si="94"/>
        <v>1.9700000000000015</v>
      </c>
      <c r="D201" s="306">
        <f t="shared" ca="1" si="95"/>
        <v>-3.9096925744029614</v>
      </c>
      <c r="E201" s="307">
        <f t="shared" ca="1" si="96"/>
        <v>-28.870302911635058</v>
      </c>
      <c r="F201" s="304">
        <f t="shared" ca="1" si="97"/>
        <v>29.133830613839734</v>
      </c>
      <c r="G201" s="306">
        <f t="shared" ca="1" si="98"/>
        <v>39.790206131178145</v>
      </c>
      <c r="H201" s="307">
        <f t="shared" ca="1" si="99"/>
        <v>193.88476881736969</v>
      </c>
      <c r="I201" s="304">
        <f t="shared" ca="1" si="100"/>
        <v>197.92565291878296</v>
      </c>
      <c r="J201" s="306">
        <f t="shared" ca="1" si="101"/>
        <v>47.730564067499699</v>
      </c>
      <c r="K201" s="307">
        <f t="shared" ca="1" si="102"/>
        <v>242.08012297515162</v>
      </c>
      <c r="L201" s="304">
        <f t="shared" ca="1" si="87"/>
        <v>246.74073981786273</v>
      </c>
      <c r="M201" s="306">
        <f t="shared" ca="1" si="103"/>
        <v>1.3683808018735106</v>
      </c>
      <c r="N201" s="304">
        <f t="shared" ca="1" si="104"/>
        <v>78.402444714079451</v>
      </c>
      <c r="P201" s="310">
        <f t="shared" ca="1" si="105"/>
        <v>23</v>
      </c>
      <c r="Q201" s="304">
        <f t="shared" ca="1" si="106"/>
        <v>0</v>
      </c>
      <c r="R201" s="306">
        <f t="shared" ca="1" si="107"/>
        <v>0</v>
      </c>
      <c r="S201" s="307">
        <f t="shared" ca="1" si="108"/>
        <v>7.9769999999999968</v>
      </c>
      <c r="T201" s="304">
        <f t="shared" ca="1" si="88"/>
        <v>78.254369999999966</v>
      </c>
      <c r="U201" s="311">
        <f t="shared" ca="1" si="89"/>
        <v>0</v>
      </c>
      <c r="V201" s="306">
        <f t="shared" ca="1" si="90"/>
        <v>1.1956998343210812</v>
      </c>
      <c r="W201" s="304">
        <f t="shared" ca="1" si="91"/>
        <v>154.72481576774598</v>
      </c>
      <c r="Y201" s="314" t="str">
        <f t="shared" ca="1" si="109"/>
        <v/>
      </c>
      <c r="Z201" s="315" t="str">
        <f t="shared" ca="1" si="110"/>
        <v/>
      </c>
      <c r="AA201" s="316" t="str">
        <f t="shared" ca="1" si="111"/>
        <v/>
      </c>
      <c r="AC201" s="310" t="e">
        <f t="shared" ca="1" si="112"/>
        <v>#N/A</v>
      </c>
      <c r="AD201" s="323" t="e">
        <f t="shared" ca="1" si="113"/>
        <v>#N/A</v>
      </c>
      <c r="AE201" s="324">
        <f t="shared" ca="1" si="92"/>
        <v>242.08012297515162</v>
      </c>
      <c r="AG201" s="306">
        <f t="shared" ca="1" si="114"/>
        <v>-29.06706775715444</v>
      </c>
      <c r="AH201" s="304">
        <f t="shared" ca="1" si="115"/>
        <v>-19.457154034175332</v>
      </c>
    </row>
    <row r="202" spans="1:34" x14ac:dyDescent="0.2">
      <c r="A202" s="347">
        <f t="shared" ca="1" si="93"/>
        <v>0.01</v>
      </c>
      <c r="B202" s="304">
        <f t="shared" ca="1" si="94"/>
        <v>1.9800000000000015</v>
      </c>
      <c r="D202" s="306">
        <f t="shared" ca="1" si="95"/>
        <v>-3.8993703485796249</v>
      </c>
      <c r="E202" s="307">
        <f t="shared" ca="1" si="96"/>
        <v>-28.810366976618162</v>
      </c>
      <c r="F202" s="304">
        <f t="shared" ca="1" si="97"/>
        <v>29.073051687822389</v>
      </c>
      <c r="G202" s="306">
        <f t="shared" ca="1" si="98"/>
        <v>39.751212427692352</v>
      </c>
      <c r="H202" s="307">
        <f t="shared" ca="1" si="99"/>
        <v>193.59666514760352</v>
      </c>
      <c r="I202" s="304">
        <f t="shared" ca="1" si="100"/>
        <v>197.63559306396417</v>
      </c>
      <c r="J202" s="306">
        <f t="shared" ca="1" si="101"/>
        <v>48.128271160294055</v>
      </c>
      <c r="K202" s="307">
        <f t="shared" ca="1" si="102"/>
        <v>244.01753014497649</v>
      </c>
      <c r="L202" s="304">
        <f t="shared" ca="1" si="87"/>
        <v>248.71848645191878</v>
      </c>
      <c r="M202" s="306">
        <f t="shared" ca="1" si="103"/>
        <v>1.3682810139582604</v>
      </c>
      <c r="N202" s="304">
        <f t="shared" ca="1" si="104"/>
        <v>78.396727287689203</v>
      </c>
      <c r="P202" s="310">
        <f t="shared" ca="1" si="105"/>
        <v>23</v>
      </c>
      <c r="Q202" s="304">
        <f t="shared" ca="1" si="106"/>
        <v>0</v>
      </c>
      <c r="R202" s="306">
        <f t="shared" ca="1" si="107"/>
        <v>0</v>
      </c>
      <c r="S202" s="307">
        <f t="shared" ca="1" si="108"/>
        <v>7.9769999999999968</v>
      </c>
      <c r="T202" s="304">
        <f t="shared" ca="1" si="88"/>
        <v>78.254369999999966</v>
      </c>
      <c r="U202" s="311">
        <f t="shared" ca="1" si="89"/>
        <v>0</v>
      </c>
      <c r="V202" s="306">
        <f t="shared" ca="1" si="90"/>
        <v>1.1954681668070601</v>
      </c>
      <c r="W202" s="304">
        <f t="shared" ca="1" si="91"/>
        <v>154.24175971084048</v>
      </c>
      <c r="Y202" s="314" t="str">
        <f t="shared" ca="1" si="109"/>
        <v/>
      </c>
      <c r="Z202" s="315" t="str">
        <f t="shared" ca="1" si="110"/>
        <v/>
      </c>
      <c r="AA202" s="316" t="str">
        <f t="shared" ca="1" si="111"/>
        <v/>
      </c>
      <c r="AC202" s="310" t="e">
        <f t="shared" ca="1" si="112"/>
        <v>#N/A</v>
      </c>
      <c r="AD202" s="323" t="e">
        <f t="shared" ca="1" si="113"/>
        <v>#N/A</v>
      </c>
      <c r="AE202" s="324">
        <f t="shared" ca="1" si="92"/>
        <v>244.01753014497649</v>
      </c>
      <c r="AG202" s="306">
        <f t="shared" ca="1" si="114"/>
        <v>-29.006083880964994</v>
      </c>
      <c r="AH202" s="304">
        <f t="shared" ca="1" si="115"/>
        <v>-19.396366524726844</v>
      </c>
    </row>
    <row r="203" spans="1:34" x14ac:dyDescent="0.2">
      <c r="A203" s="347">
        <f t="shared" ca="1" si="93"/>
        <v>0.01</v>
      </c>
      <c r="B203" s="304">
        <f t="shared" ca="1" si="94"/>
        <v>1.9900000000000015</v>
      </c>
      <c r="D203" s="306">
        <f t="shared" ca="1" si="95"/>
        <v>-3.8890864520082009</v>
      </c>
      <c r="E203" s="307">
        <f t="shared" ca="1" si="96"/>
        <v>-28.750659205025961</v>
      </c>
      <c r="F203" s="304">
        <f t="shared" ca="1" si="97"/>
        <v>29.012504168974068</v>
      </c>
      <c r="G203" s="306">
        <f t="shared" ca="1" si="98"/>
        <v>39.712321563172267</v>
      </c>
      <c r="H203" s="307">
        <f t="shared" ca="1" si="99"/>
        <v>193.30915855555327</v>
      </c>
      <c r="I203" s="304">
        <f t="shared" ca="1" si="100"/>
        <v>197.34614074106651</v>
      </c>
      <c r="J203" s="306">
        <f t="shared" ca="1" si="101"/>
        <v>48.525588830248381</v>
      </c>
      <c r="K203" s="307">
        <f t="shared" ca="1" si="102"/>
        <v>245.95205926349229</v>
      </c>
      <c r="L203" s="304">
        <f t="shared" ca="1" si="87"/>
        <v>250.69333502762842</v>
      </c>
      <c r="M203" s="306">
        <f t="shared" ca="1" si="103"/>
        <v>1.3681810310907181</v>
      </c>
      <c r="N203" s="304">
        <f t="shared" ca="1" si="104"/>
        <v>78.390998691355421</v>
      </c>
      <c r="P203" s="310">
        <f t="shared" ca="1" si="105"/>
        <v>23</v>
      </c>
      <c r="Q203" s="304">
        <f t="shared" ca="1" si="106"/>
        <v>0</v>
      </c>
      <c r="R203" s="306">
        <f t="shared" ca="1" si="107"/>
        <v>0</v>
      </c>
      <c r="S203" s="307">
        <f t="shared" ca="1" si="108"/>
        <v>7.9769999999999968</v>
      </c>
      <c r="T203" s="304">
        <f t="shared" ca="1" si="88"/>
        <v>78.254369999999966</v>
      </c>
      <c r="U203" s="311">
        <f t="shared" ca="1" si="89"/>
        <v>0</v>
      </c>
      <c r="V203" s="306">
        <f t="shared" ca="1" si="90"/>
        <v>1.1952368876785007</v>
      </c>
      <c r="W203" s="304">
        <f t="shared" ca="1" si="91"/>
        <v>153.76054026810593</v>
      </c>
      <c r="Y203" s="314" t="str">
        <f t="shared" ca="1" si="109"/>
        <v/>
      </c>
      <c r="Z203" s="315" t="str">
        <f t="shared" ca="1" si="110"/>
        <v/>
      </c>
      <c r="AA203" s="316" t="str">
        <f t="shared" ca="1" si="111"/>
        <v/>
      </c>
      <c r="AC203" s="310" t="e">
        <f t="shared" ca="1" si="112"/>
        <v>#N/A</v>
      </c>
      <c r="AD203" s="323" t="e">
        <f t="shared" ca="1" si="113"/>
        <v>#N/A</v>
      </c>
      <c r="AE203" s="324">
        <f t="shared" ca="1" si="92"/>
        <v>245.95205926349229</v>
      </c>
      <c r="AG203" s="306">
        <f t="shared" ca="1" si="114"/>
        <v>-28.945330929030831</v>
      </c>
      <c r="AH203" s="304">
        <f t="shared" ca="1" si="115"/>
        <v>-19.335810418809146</v>
      </c>
    </row>
    <row r="204" spans="1:34" x14ac:dyDescent="0.2">
      <c r="A204" s="347">
        <f t="shared" ca="1" si="93"/>
        <v>0.01</v>
      </c>
      <c r="B204" s="304">
        <f t="shared" ca="1" si="94"/>
        <v>2.0000000000000013</v>
      </c>
      <c r="D204" s="306">
        <f t="shared" ca="1" si="95"/>
        <v>-3.8788406903959927</v>
      </c>
      <c r="E204" s="307">
        <f t="shared" ca="1" si="96"/>
        <v>-28.691178448324237</v>
      </c>
      <c r="F204" s="304">
        <f t="shared" ca="1" si="97"/>
        <v>28.952186892444875</v>
      </c>
      <c r="G204" s="306">
        <f t="shared" ca="1" si="98"/>
        <v>39.673533156268306</v>
      </c>
      <c r="H204" s="307">
        <f t="shared" ca="1" si="99"/>
        <v>193.02224677107003</v>
      </c>
      <c r="I204" s="304">
        <f t="shared" ca="1" si="100"/>
        <v>197.05729365251463</v>
      </c>
      <c r="J204" s="306">
        <f t="shared" ca="1" si="101"/>
        <v>48.922518103845583</v>
      </c>
      <c r="K204" s="307">
        <f t="shared" ca="1" si="102"/>
        <v>247.88371629012539</v>
      </c>
      <c r="L204" s="304">
        <f t="shared" ca="1" si="87"/>
        <v>252.66529160022054</v>
      </c>
      <c r="M204" s="306">
        <f t="shared" ca="1" si="103"/>
        <v>1.3680808529117763</v>
      </c>
      <c r="N204" s="304">
        <f t="shared" ca="1" si="104"/>
        <v>78.385258904502749</v>
      </c>
      <c r="P204" s="310">
        <f t="shared" ca="1" si="105"/>
        <v>23</v>
      </c>
      <c r="Q204" s="304">
        <f t="shared" ca="1" si="106"/>
        <v>0</v>
      </c>
      <c r="R204" s="306">
        <f t="shared" ca="1" si="107"/>
        <v>0</v>
      </c>
      <c r="S204" s="307">
        <f t="shared" ca="1" si="108"/>
        <v>7.9769999999999968</v>
      </c>
      <c r="T204" s="304">
        <f t="shared" ca="1" si="88"/>
        <v>78.254369999999966</v>
      </c>
      <c r="U204" s="311">
        <f t="shared" ca="1" si="89"/>
        <v>0</v>
      </c>
      <c r="V204" s="306">
        <f t="shared" ca="1" si="90"/>
        <v>1.1950059960131931</v>
      </c>
      <c r="W204" s="304">
        <f t="shared" ca="1" si="91"/>
        <v>153.28114820680781</v>
      </c>
      <c r="Y204" s="314" t="str">
        <f t="shared" ca="1" si="109"/>
        <v/>
      </c>
      <c r="Z204" s="315" t="str">
        <f t="shared" ca="1" si="110"/>
        <v/>
      </c>
      <c r="AA204" s="316" t="str">
        <f t="shared" ca="1" si="111"/>
        <v/>
      </c>
      <c r="AC204" s="310">
        <f t="shared" ca="1" si="112"/>
        <v>2.0000000000000013</v>
      </c>
      <c r="AD204" s="323">
        <f t="shared" ca="1" si="113"/>
        <v>48.922518103845583</v>
      </c>
      <c r="AE204" s="324">
        <f t="shared" ca="1" si="92"/>
        <v>247.88371629012539</v>
      </c>
      <c r="AG204" s="306">
        <f t="shared" ca="1" si="114"/>
        <v>-28.884807735264253</v>
      </c>
      <c r="AH204" s="304">
        <f t="shared" ca="1" si="115"/>
        <v>-19.275484551599096</v>
      </c>
    </row>
    <row r="205" spans="1:34" x14ac:dyDescent="0.2">
      <c r="A205" s="347">
        <f t="shared" ca="1" si="93"/>
        <v>0.1</v>
      </c>
      <c r="B205" s="304">
        <f t="shared" ca="1" si="94"/>
        <v>2.1000000000000014</v>
      </c>
      <c r="D205" s="306">
        <f t="shared" ca="1" si="95"/>
        <v>-3.8686328706840172</v>
      </c>
      <c r="E205" s="307">
        <f t="shared" ca="1" si="96"/>
        <v>-28.631923565278981</v>
      </c>
      <c r="F205" s="304">
        <f t="shared" ca="1" si="97"/>
        <v>28.892098700788676</v>
      </c>
      <c r="G205" s="306">
        <f t="shared" ca="1" si="98"/>
        <v>39.286669869199905</v>
      </c>
      <c r="H205" s="307">
        <f t="shared" ca="1" si="99"/>
        <v>190.15905441454214</v>
      </c>
      <c r="I205" s="304">
        <f t="shared" ca="1" si="100"/>
        <v>194.17494278419215</v>
      </c>
      <c r="J205" s="306">
        <f t="shared" ca="1" si="101"/>
        <v>52.870528255118991</v>
      </c>
      <c r="K205" s="307">
        <f t="shared" ca="1" si="102"/>
        <v>267.04278134940603</v>
      </c>
      <c r="L205" s="304">
        <f t="shared" ca="1" si="87"/>
        <v>272.22626586867403</v>
      </c>
      <c r="M205" s="306">
        <f t="shared" ca="1" si="103"/>
        <v>1.3670637046504903</v>
      </c>
      <c r="N205" s="304">
        <f t="shared" ca="1" si="104"/>
        <v>78.326980601991991</v>
      </c>
      <c r="P205" s="310">
        <f t="shared" ca="1" si="105"/>
        <v>23</v>
      </c>
      <c r="Q205" s="304">
        <f t="shared" ca="1" si="106"/>
        <v>0</v>
      </c>
      <c r="R205" s="306">
        <f t="shared" ca="1" si="107"/>
        <v>0</v>
      </c>
      <c r="S205" s="307">
        <f t="shared" ca="1" si="108"/>
        <v>7.9769999999999968</v>
      </c>
      <c r="T205" s="304">
        <f t="shared" ca="1" si="88"/>
        <v>78.254369999999966</v>
      </c>
      <c r="U205" s="311">
        <f t="shared" ca="1" si="89"/>
        <v>0</v>
      </c>
      <c r="V205" s="306">
        <f t="shared" ca="1" si="90"/>
        <v>1.1927182891769432</v>
      </c>
      <c r="W205" s="304">
        <f t="shared" ca="1" si="91"/>
        <v>148.54494699773571</v>
      </c>
      <c r="Y205" s="314" t="str">
        <f t="shared" ca="1" si="109"/>
        <v/>
      </c>
      <c r="Z205" s="315" t="str">
        <f t="shared" ca="1" si="110"/>
        <v/>
      </c>
      <c r="AA205" s="316" t="str">
        <f t="shared" ca="1" si="111"/>
        <v/>
      </c>
      <c r="AC205" s="310" t="e">
        <f t="shared" ca="1" si="112"/>
        <v>#N/A</v>
      </c>
      <c r="AD205" s="323" t="e">
        <f t="shared" ca="1" si="113"/>
        <v>#N/A</v>
      </c>
      <c r="AE205" s="324">
        <f t="shared" ca="1" si="92"/>
        <v>267.04278134940603</v>
      </c>
      <c r="AG205" s="306">
        <f t="shared" ca="1" si="114"/>
        <v>-28.824513140976673</v>
      </c>
      <c r="AH205" s="304">
        <f t="shared" ca="1" si="115"/>
        <v>-19.215387765677306</v>
      </c>
    </row>
    <row r="206" spans="1:34" x14ac:dyDescent="0.2">
      <c r="A206" s="347">
        <f t="shared" ca="1" si="93"/>
        <v>0.1</v>
      </c>
      <c r="B206" s="304">
        <f t="shared" ca="1" si="94"/>
        <v>2.2000000000000015</v>
      </c>
      <c r="D206" s="306">
        <f t="shared" ca="1" si="95"/>
        <v>-3.7676480129063936</v>
      </c>
      <c r="E206" s="307">
        <f t="shared" ca="1" si="96"/>
        <v>-28.046526177618212</v>
      </c>
      <c r="F206" s="304">
        <f t="shared" ca="1" si="97"/>
        <v>28.298459360554968</v>
      </c>
      <c r="G206" s="306">
        <f t="shared" ca="1" si="98"/>
        <v>38.909905067909264</v>
      </c>
      <c r="H206" s="307">
        <f t="shared" ca="1" si="99"/>
        <v>187.35440179678031</v>
      </c>
      <c r="I206" s="304">
        <f t="shared" ca="1" si="100"/>
        <v>191.3521690105004</v>
      </c>
      <c r="J206" s="306">
        <f t="shared" ca="1" si="101"/>
        <v>56.780357001974451</v>
      </c>
      <c r="K206" s="307">
        <f t="shared" ca="1" si="102"/>
        <v>285.91845415997216</v>
      </c>
      <c r="L206" s="304">
        <f t="shared" ca="1" si="87"/>
        <v>291.50192344219579</v>
      </c>
      <c r="M206" s="306">
        <f t="shared" ca="1" si="103"/>
        <v>1.3660264444188452</v>
      </c>
      <c r="N206" s="304">
        <f t="shared" ca="1" si="104"/>
        <v>78.267549968461964</v>
      </c>
      <c r="P206" s="310">
        <f t="shared" ca="1" si="105"/>
        <v>23</v>
      </c>
      <c r="Q206" s="304">
        <f t="shared" ca="1" si="106"/>
        <v>0</v>
      </c>
      <c r="R206" s="306">
        <f t="shared" ca="1" si="107"/>
        <v>0</v>
      </c>
      <c r="S206" s="307">
        <f t="shared" ca="1" si="108"/>
        <v>7.9769999999999968</v>
      </c>
      <c r="T206" s="304">
        <f t="shared" ca="1" si="88"/>
        <v>78.254369999999966</v>
      </c>
      <c r="U206" s="311">
        <f t="shared" ca="1" si="89"/>
        <v>0</v>
      </c>
      <c r="V206" s="306">
        <f t="shared" ca="1" si="90"/>
        <v>1.1904686469200374</v>
      </c>
      <c r="W206" s="304">
        <f t="shared" ca="1" si="91"/>
        <v>143.98537221194772</v>
      </c>
      <c r="Y206" s="314" t="str">
        <f t="shared" ca="1" si="109"/>
        <v/>
      </c>
      <c r="Z206" s="315" t="str">
        <f t="shared" ca="1" si="110"/>
        <v/>
      </c>
      <c r="AA206" s="316" t="str">
        <f t="shared" ca="1" si="111"/>
        <v/>
      </c>
      <c r="AC206" s="310" t="e">
        <f t="shared" ca="1" si="112"/>
        <v>#N/A</v>
      </c>
      <c r="AD206" s="323" t="e">
        <f t="shared" ca="1" si="113"/>
        <v>#N/A</v>
      </c>
      <c r="AE206" s="324">
        <f t="shared" ca="1" si="92"/>
        <v>285.91845415997216</v>
      </c>
      <c r="AG206" s="306">
        <f t="shared" ca="1" si="114"/>
        <v>-28.228767124226586</v>
      </c>
      <c r="AH206" s="304">
        <f t="shared" ca="1" si="115"/>
        <v>-18.621655634666638</v>
      </c>
    </row>
    <row r="207" spans="1:34" x14ac:dyDescent="0.2">
      <c r="A207" s="347">
        <f t="shared" ca="1" si="93"/>
        <v>0.1</v>
      </c>
      <c r="B207" s="304">
        <f t="shared" ca="1" si="94"/>
        <v>2.3000000000000016</v>
      </c>
      <c r="D207" s="306">
        <f t="shared" ca="1" si="95"/>
        <v>-3.670333800411008</v>
      </c>
      <c r="E207" s="307">
        <f t="shared" ca="1" si="96"/>
        <v>-27.482959940928929</v>
      </c>
      <c r="F207" s="304">
        <f t="shared" ca="1" si="97"/>
        <v>27.726962280804287</v>
      </c>
      <c r="G207" s="306">
        <f t="shared" ca="1" si="98"/>
        <v>38.542871687868164</v>
      </c>
      <c r="H207" s="307">
        <f t="shared" ca="1" si="99"/>
        <v>184.60610580268741</v>
      </c>
      <c r="I207" s="304">
        <f t="shared" ca="1" si="100"/>
        <v>188.5867632088225</v>
      </c>
      <c r="J207" s="306">
        <f t="shared" ca="1" si="101"/>
        <v>60.652995839763321</v>
      </c>
      <c r="K207" s="307">
        <f t="shared" ca="1" si="102"/>
        <v>304.51647953994552</v>
      </c>
      <c r="L207" s="304">
        <f t="shared" ca="1" si="87"/>
        <v>310.498103401197</v>
      </c>
      <c r="M207" s="306">
        <f t="shared" ca="1" si="103"/>
        <v>1.3649686904498946</v>
      </c>
      <c r="N207" s="304">
        <f t="shared" ca="1" si="104"/>
        <v>78.206945130277873</v>
      </c>
      <c r="P207" s="310">
        <f t="shared" ca="1" si="105"/>
        <v>23</v>
      </c>
      <c r="Q207" s="304">
        <f t="shared" ca="1" si="106"/>
        <v>0</v>
      </c>
      <c r="R207" s="306">
        <f t="shared" ca="1" si="107"/>
        <v>0</v>
      </c>
      <c r="S207" s="307">
        <f t="shared" ca="1" si="108"/>
        <v>7.9769999999999968</v>
      </c>
      <c r="T207" s="304">
        <f t="shared" ca="1" si="88"/>
        <v>78.254369999999966</v>
      </c>
      <c r="U207" s="311">
        <f t="shared" ca="1" si="89"/>
        <v>0</v>
      </c>
      <c r="V207" s="306">
        <f t="shared" ca="1" si="90"/>
        <v>1.1882561860990559</v>
      </c>
      <c r="W207" s="304">
        <f t="shared" ca="1" si="91"/>
        <v>139.59380002052541</v>
      </c>
      <c r="Y207" s="314" t="str">
        <f t="shared" ca="1" si="109"/>
        <v/>
      </c>
      <c r="Z207" s="315" t="str">
        <f t="shared" ca="1" si="110"/>
        <v/>
      </c>
      <c r="AA207" s="316" t="str">
        <f t="shared" ca="1" si="111"/>
        <v/>
      </c>
      <c r="AC207" s="310" t="e">
        <f t="shared" ca="1" si="112"/>
        <v>#N/A</v>
      </c>
      <c r="AD207" s="323" t="e">
        <f t="shared" ca="1" si="113"/>
        <v>#N/A</v>
      </c>
      <c r="AE207" s="324">
        <f t="shared" ca="1" si="92"/>
        <v>304.51647953994552</v>
      </c>
      <c r="AG207" s="306">
        <f t="shared" ca="1" si="114"/>
        <v>-27.65511301201272</v>
      </c>
      <c r="AH207" s="304">
        <f t="shared" ca="1" si="115"/>
        <v>-18.050065464704499</v>
      </c>
    </row>
    <row r="208" spans="1:34" x14ac:dyDescent="0.2">
      <c r="A208" s="347">
        <f t="shared" ca="1" si="93"/>
        <v>0.1</v>
      </c>
      <c r="B208" s="304">
        <f t="shared" ca="1" si="94"/>
        <v>2.4000000000000017</v>
      </c>
      <c r="D208" s="306">
        <f t="shared" ca="1" si="95"/>
        <v>-3.5765096430130243</v>
      </c>
      <c r="E208" s="307">
        <f t="shared" ca="1" si="96"/>
        <v>-26.940158928199814</v>
      </c>
      <c r="F208" s="304">
        <f t="shared" ca="1" si="97"/>
        <v>27.176526347258388</v>
      </c>
      <c r="G208" s="306">
        <f t="shared" ca="1" si="98"/>
        <v>38.185220723566864</v>
      </c>
      <c r="H208" s="307">
        <f t="shared" ca="1" si="99"/>
        <v>181.91208990986743</v>
      </c>
      <c r="I208" s="304">
        <f t="shared" ca="1" si="100"/>
        <v>185.8766245042211</v>
      </c>
      <c r="J208" s="306">
        <f t="shared" ca="1" si="101"/>
        <v>64.489400460335077</v>
      </c>
      <c r="K208" s="307">
        <f t="shared" ca="1" si="102"/>
        <v>322.84238932557327</v>
      </c>
      <c r="L208" s="304">
        <f t="shared" ca="1" si="87"/>
        <v>329.22042937396594</v>
      </c>
      <c r="M208" s="306">
        <f t="shared" ca="1" si="103"/>
        <v>1.3638900488217414</v>
      </c>
      <c r="N208" s="304">
        <f t="shared" ca="1" si="104"/>
        <v>78.145143517377576</v>
      </c>
      <c r="P208" s="310">
        <f t="shared" ca="1" si="105"/>
        <v>23</v>
      </c>
      <c r="Q208" s="304">
        <f t="shared" ca="1" si="106"/>
        <v>0</v>
      </c>
      <c r="R208" s="306">
        <f t="shared" ca="1" si="107"/>
        <v>0</v>
      </c>
      <c r="S208" s="307">
        <f t="shared" ca="1" si="108"/>
        <v>7.9769999999999968</v>
      </c>
      <c r="T208" s="304">
        <f t="shared" ca="1" si="88"/>
        <v>78.254369999999966</v>
      </c>
      <c r="U208" s="311">
        <f t="shared" ca="1" si="89"/>
        <v>0</v>
      </c>
      <c r="V208" s="306">
        <f t="shared" ca="1" si="90"/>
        <v>1.186080057666387</v>
      </c>
      <c r="W208" s="304">
        <f t="shared" ca="1" si="91"/>
        <v>135.36213349340997</v>
      </c>
      <c r="Y208" s="314" t="str">
        <f t="shared" ca="1" si="109"/>
        <v/>
      </c>
      <c r="Z208" s="315" t="str">
        <f t="shared" ca="1" si="110"/>
        <v/>
      </c>
      <c r="AA208" s="316" t="str">
        <f t="shared" ca="1" si="111"/>
        <v/>
      </c>
      <c r="AC208" s="310" t="e">
        <f t="shared" ca="1" si="112"/>
        <v>#N/A</v>
      </c>
      <c r="AD208" s="323" t="e">
        <f t="shared" ca="1" si="113"/>
        <v>#N/A</v>
      </c>
      <c r="AE208" s="324">
        <f t="shared" ca="1" si="92"/>
        <v>322.84238932557327</v>
      </c>
      <c r="AG208" s="306">
        <f t="shared" ca="1" si="114"/>
        <v>-27.10246835321065</v>
      </c>
      <c r="AH208" s="304">
        <f t="shared" ca="1" si="115"/>
        <v>-17.499536169051705</v>
      </c>
    </row>
    <row r="209" spans="1:34" x14ac:dyDescent="0.2">
      <c r="A209" s="347">
        <f t="shared" ca="1" si="93"/>
        <v>0.1</v>
      </c>
      <c r="B209" s="304">
        <f t="shared" ca="1" si="94"/>
        <v>2.5000000000000018</v>
      </c>
      <c r="D209" s="306">
        <f t="shared" ca="1" si="95"/>
        <v>-3.4860059733314719</v>
      </c>
      <c r="E209" s="307">
        <f t="shared" ca="1" si="96"/>
        <v>-26.417122337664836</v>
      </c>
      <c r="F209" s="304">
        <f t="shared" ca="1" si="97"/>
        <v>26.646136497609803</v>
      </c>
      <c r="G209" s="306">
        <f t="shared" ca="1" si="98"/>
        <v>37.836620126233719</v>
      </c>
      <c r="H209" s="307">
        <f t="shared" ca="1" si="99"/>
        <v>179.27037767610096</v>
      </c>
      <c r="I209" s="304">
        <f t="shared" ca="1" si="100"/>
        <v>183.21975366949053</v>
      </c>
      <c r="J209" s="306">
        <f t="shared" ca="1" si="101"/>
        <v>68.290492502825103</v>
      </c>
      <c r="K209" s="307">
        <f t="shared" ca="1" si="102"/>
        <v>340.90151270487166</v>
      </c>
      <c r="L209" s="304">
        <f t="shared" ca="1" si="87"/>
        <v>347.67431991843773</v>
      </c>
      <c r="M209" s="306">
        <f t="shared" ca="1" si="103"/>
        <v>1.3627901130450626</v>
      </c>
      <c r="N209" s="304">
        <f t="shared" ca="1" si="104"/>
        <v>78.082121839638447</v>
      </c>
      <c r="P209" s="310">
        <f t="shared" ca="1" si="105"/>
        <v>23</v>
      </c>
      <c r="Q209" s="304">
        <f t="shared" ca="1" si="106"/>
        <v>0</v>
      </c>
      <c r="R209" s="306">
        <f t="shared" ca="1" si="107"/>
        <v>0</v>
      </c>
      <c r="S209" s="307">
        <f t="shared" ca="1" si="108"/>
        <v>7.9769999999999968</v>
      </c>
      <c r="T209" s="304">
        <f t="shared" ca="1" si="88"/>
        <v>78.254369999999966</v>
      </c>
      <c r="U209" s="311">
        <f t="shared" ca="1" si="89"/>
        <v>0</v>
      </c>
      <c r="V209" s="306">
        <f t="shared" ca="1" si="90"/>
        <v>1.1839394449599361</v>
      </c>
      <c r="W209" s="304">
        <f t="shared" ca="1" si="91"/>
        <v>131.2827642573875</v>
      </c>
      <c r="Y209" s="314" t="str">
        <f t="shared" ca="1" si="109"/>
        <v/>
      </c>
      <c r="Z209" s="315" t="str">
        <f t="shared" ca="1" si="110"/>
        <v/>
      </c>
      <c r="AA209" s="316" t="str">
        <f t="shared" ca="1" si="111"/>
        <v/>
      </c>
      <c r="AC209" s="310" t="e">
        <f t="shared" ca="1" si="112"/>
        <v>#N/A</v>
      </c>
      <c r="AD209" s="323" t="e">
        <f t="shared" ca="1" si="113"/>
        <v>#N/A</v>
      </c>
      <c r="AE209" s="324">
        <f t="shared" ca="1" si="92"/>
        <v>340.90151270487166</v>
      </c>
      <c r="AG209" s="306">
        <f t="shared" ca="1" si="114"/>
        <v>-26.569816697270795</v>
      </c>
      <c r="AH209" s="304">
        <f t="shared" ca="1" si="115"/>
        <v>-16.96905271322678</v>
      </c>
    </row>
    <row r="210" spans="1:34" x14ac:dyDescent="0.2">
      <c r="A210" s="347">
        <f t="shared" ca="1" si="93"/>
        <v>0.1</v>
      </c>
      <c r="B210" s="304">
        <f t="shared" ca="1" si="94"/>
        <v>2.6000000000000019</v>
      </c>
      <c r="D210" s="306">
        <f t="shared" ca="1" si="95"/>
        <v>-3.3986634444273274</v>
      </c>
      <c r="E210" s="307">
        <f t="shared" ca="1" si="96"/>
        <v>-25.912909753664962</v>
      </c>
      <c r="F210" s="304">
        <f t="shared" ca="1" si="97"/>
        <v>26.134838914943998</v>
      </c>
      <c r="G210" s="306">
        <f t="shared" ca="1" si="98"/>
        <v>37.496753781790986</v>
      </c>
      <c r="H210" s="307">
        <f t="shared" ca="1" si="99"/>
        <v>176.67908670073447</v>
      </c>
      <c r="I210" s="304">
        <f t="shared" ca="1" si="100"/>
        <v>180.61424700609282</v>
      </c>
      <c r="J210" s="306">
        <f t="shared" ca="1" si="101"/>
        <v>72.057161198226339</v>
      </c>
      <c r="K210" s="307">
        <f t="shared" ca="1" si="102"/>
        <v>358.69898592371345</v>
      </c>
      <c r="L210" s="304">
        <f t="shared" ca="1" si="87"/>
        <v>365.86499830217093</v>
      </c>
      <c r="M210" s="306">
        <f t="shared" ca="1" si="103"/>
        <v>1.3616684636319638</v>
      </c>
      <c r="N210" s="304">
        <f t="shared" ca="1" si="104"/>
        <v>78.017856062174559</v>
      </c>
      <c r="P210" s="310">
        <f t="shared" ca="1" si="105"/>
        <v>23</v>
      </c>
      <c r="Q210" s="304">
        <f t="shared" ca="1" si="106"/>
        <v>0</v>
      </c>
      <c r="R210" s="306">
        <f t="shared" ca="1" si="107"/>
        <v>0</v>
      </c>
      <c r="S210" s="307">
        <f t="shared" ca="1" si="108"/>
        <v>7.9769999999999968</v>
      </c>
      <c r="T210" s="304">
        <f t="shared" ca="1" si="88"/>
        <v>78.254369999999966</v>
      </c>
      <c r="U210" s="311">
        <f t="shared" ca="1" si="89"/>
        <v>0</v>
      </c>
      <c r="V210" s="306">
        <f t="shared" ca="1" si="90"/>
        <v>1.1818335620993894</v>
      </c>
      <c r="W210" s="304">
        <f t="shared" ca="1" si="91"/>
        <v>127.34853738439473</v>
      </c>
      <c r="Y210" s="314" t="str">
        <f t="shared" ca="1" si="109"/>
        <v/>
      </c>
      <c r="Z210" s="315" t="str">
        <f t="shared" ca="1" si="110"/>
        <v/>
      </c>
      <c r="AA210" s="316" t="str">
        <f t="shared" ca="1" si="111"/>
        <v/>
      </c>
      <c r="AC210" s="310" t="e">
        <f t="shared" ca="1" si="112"/>
        <v>#N/A</v>
      </c>
      <c r="AD210" s="323" t="e">
        <f t="shared" ca="1" si="113"/>
        <v>#N/A</v>
      </c>
      <c r="AE210" s="324">
        <f t="shared" ca="1" si="92"/>
        <v>358.69898592371345</v>
      </c>
      <c r="AG210" s="306">
        <f t="shared" ca="1" si="114"/>
        <v>-26.056202785436408</v>
      </c>
      <c r="AH210" s="304">
        <f t="shared" ca="1" si="115"/>
        <v>-16.457661308435195</v>
      </c>
    </row>
    <row r="211" spans="1:34" x14ac:dyDescent="0.2">
      <c r="A211" s="347">
        <f t="shared" ca="1" si="93"/>
        <v>0.1</v>
      </c>
      <c r="B211" s="304">
        <f t="shared" ca="1" si="94"/>
        <v>2.700000000000002</v>
      </c>
      <c r="D211" s="306">
        <f t="shared" ca="1" si="95"/>
        <v>-3.3143321950456661</v>
      </c>
      <c r="E211" s="307">
        <f t="shared" ca="1" si="96"/>
        <v>-25.426636806780657</v>
      </c>
      <c r="F211" s="304">
        <f t="shared" ca="1" si="97"/>
        <v>25.64173662611503</v>
      </c>
      <c r="G211" s="306">
        <f t="shared" ca="1" si="98"/>
        <v>37.165320562286418</v>
      </c>
      <c r="H211" s="307">
        <f t="shared" ca="1" si="99"/>
        <v>174.13642302005641</v>
      </c>
      <c r="I211" s="304">
        <f t="shared" ca="1" si="100"/>
        <v>178.05829066549398</v>
      </c>
      <c r="J211" s="306">
        <f t="shared" ca="1" si="101"/>
        <v>75.790264915430214</v>
      </c>
      <c r="K211" s="307">
        <f t="shared" ca="1" si="102"/>
        <v>376.23976140975299</v>
      </c>
      <c r="L211" s="304">
        <f t="shared" ca="1" si="87"/>
        <v>383.79750171362366</v>
      </c>
      <c r="M211" s="306">
        <f t="shared" ca="1" si="103"/>
        <v>1.3605246676452756</v>
      </c>
      <c r="N211" s="304">
        <f t="shared" ca="1" si="104"/>
        <v>77.952321379513322</v>
      </c>
      <c r="P211" s="310">
        <f t="shared" ca="1" si="105"/>
        <v>23</v>
      </c>
      <c r="Q211" s="304">
        <f t="shared" ca="1" si="106"/>
        <v>0</v>
      </c>
      <c r="R211" s="306">
        <f t="shared" ca="1" si="107"/>
        <v>0</v>
      </c>
      <c r="S211" s="307">
        <f t="shared" ca="1" si="108"/>
        <v>7.9769999999999968</v>
      </c>
      <c r="T211" s="304">
        <f t="shared" ca="1" si="88"/>
        <v>78.254369999999966</v>
      </c>
      <c r="U211" s="311">
        <f t="shared" ca="1" si="89"/>
        <v>0</v>
      </c>
      <c r="V211" s="306">
        <f t="shared" ca="1" si="90"/>
        <v>1.1797616524811583</v>
      </c>
      <c r="W211" s="304">
        <f t="shared" ca="1" si="91"/>
        <v>123.55271920184195</v>
      </c>
      <c r="Y211" s="314" t="str">
        <f t="shared" ca="1" si="109"/>
        <v/>
      </c>
      <c r="Z211" s="315" t="str">
        <f t="shared" ca="1" si="110"/>
        <v/>
      </c>
      <c r="AA211" s="316" t="str">
        <f t="shared" ca="1" si="111"/>
        <v/>
      </c>
      <c r="AC211" s="310" t="e">
        <f t="shared" ca="1" si="112"/>
        <v>#N/A</v>
      </c>
      <c r="AD211" s="323" t="e">
        <f t="shared" ca="1" si="113"/>
        <v>#N/A</v>
      </c>
      <c r="AE211" s="324">
        <f t="shared" ca="1" si="92"/>
        <v>376.23976140975299</v>
      </c>
      <c r="AG211" s="306">
        <f t="shared" ca="1" si="114"/>
        <v>-25.560728146801392</v>
      </c>
      <c r="AH211" s="304">
        <f t="shared" ca="1" si="115"/>
        <v>-15.964465009952963</v>
      </c>
    </row>
    <row r="212" spans="1:34" x14ac:dyDescent="0.2">
      <c r="A212" s="347">
        <f t="shared" ca="1" si="93"/>
        <v>0.1</v>
      </c>
      <c r="B212" s="304">
        <f t="shared" ca="1" si="94"/>
        <v>2.800000000000002</v>
      </c>
      <c r="D212" s="306">
        <f t="shared" ca="1" si="95"/>
        <v>-3.2328711760095783</v>
      </c>
      <c r="E212" s="307">
        <f t="shared" ca="1" si="96"/>
        <v>-24.957471195128512</v>
      </c>
      <c r="F212" s="304">
        <f t="shared" ca="1" si="97"/>
        <v>25.165985466425568</v>
      </c>
      <c r="G212" s="306">
        <f t="shared" ca="1" si="98"/>
        <v>36.842033444685462</v>
      </c>
      <c r="H212" s="307">
        <f t="shared" ca="1" si="99"/>
        <v>171.64067590054356</v>
      </c>
      <c r="I212" s="304">
        <f t="shared" ca="1" si="100"/>
        <v>175.55015537428258</v>
      </c>
      <c r="J212" s="306">
        <f t="shared" ca="1" si="101"/>
        <v>79.490632615778807</v>
      </c>
      <c r="K212" s="307">
        <f t="shared" ca="1" si="102"/>
        <v>393.52861635578302</v>
      </c>
      <c r="L212" s="304">
        <f t="shared" ca="1" si="87"/>
        <v>401.47668993922144</v>
      </c>
      <c r="M212" s="306">
        <f t="shared" ca="1" si="103"/>
        <v>1.3593582782273446</v>
      </c>
      <c r="N212" s="304">
        <f t="shared" ca="1" si="104"/>
        <v>77.885492188597155</v>
      </c>
      <c r="P212" s="310">
        <f t="shared" ca="1" si="105"/>
        <v>23</v>
      </c>
      <c r="Q212" s="304">
        <f t="shared" ca="1" si="106"/>
        <v>0</v>
      </c>
      <c r="R212" s="306">
        <f t="shared" ca="1" si="107"/>
        <v>0</v>
      </c>
      <c r="S212" s="307">
        <f t="shared" ca="1" si="108"/>
        <v>7.9769999999999968</v>
      </c>
      <c r="T212" s="304">
        <f t="shared" ca="1" si="88"/>
        <v>78.254369999999966</v>
      </c>
      <c r="U212" s="311">
        <f t="shared" ca="1" si="89"/>
        <v>0</v>
      </c>
      <c r="V212" s="306">
        <f t="shared" ca="1" si="90"/>
        <v>1.1777229873648047</v>
      </c>
      <c r="W212" s="304">
        <f t="shared" ca="1" si="91"/>
        <v>119.88896774944594</v>
      </c>
      <c r="Y212" s="314" t="str">
        <f t="shared" ca="1" si="109"/>
        <v/>
      </c>
      <c r="Z212" s="315" t="str">
        <f t="shared" ca="1" si="110"/>
        <v/>
      </c>
      <c r="AA212" s="316" t="str">
        <f t="shared" ca="1" si="111"/>
        <v/>
      </c>
      <c r="AC212" s="310" t="e">
        <f t="shared" ca="1" si="112"/>
        <v>#N/A</v>
      </c>
      <c r="AD212" s="323" t="e">
        <f t="shared" ca="1" si="113"/>
        <v>#N/A</v>
      </c>
      <c r="AE212" s="324">
        <f t="shared" ca="1" si="92"/>
        <v>393.52861635578302</v>
      </c>
      <c r="AG212" s="306">
        <f t="shared" ca="1" si="114"/>
        <v>-25.082547060552244</v>
      </c>
      <c r="AH212" s="304">
        <f t="shared" ca="1" si="115"/>
        <v>-15.48861968181547</v>
      </c>
    </row>
    <row r="213" spans="1:34" x14ac:dyDescent="0.2">
      <c r="A213" s="347">
        <f t="shared" ca="1" si="93"/>
        <v>0.1</v>
      </c>
      <c r="B213" s="304">
        <f t="shared" ca="1" si="94"/>
        <v>2.9000000000000021</v>
      </c>
      <c r="D213" s="306">
        <f t="shared" ca="1" si="95"/>
        <v>-3.154147532000068</v>
      </c>
      <c r="E213" s="307">
        <f t="shared" ca="1" si="96"/>
        <v>-24.504629032769039</v>
      </c>
      <c r="F213" s="304">
        <f t="shared" ca="1" si="97"/>
        <v>24.706790376073727</v>
      </c>
      <c r="G213" s="306">
        <f t="shared" ca="1" si="98"/>
        <v>36.526618691485453</v>
      </c>
      <c r="H213" s="307">
        <f t="shared" ca="1" si="99"/>
        <v>169.19021299726666</v>
      </c>
      <c r="I213" s="304">
        <f t="shared" ca="1" si="100"/>
        <v>173.0881915299066</v>
      </c>
      <c r="J213" s="306">
        <f t="shared" ca="1" si="101"/>
        <v>83.159065222587358</v>
      </c>
      <c r="K213" s="307">
        <f t="shared" ca="1" si="102"/>
        <v>410.57016080067353</v>
      </c>
      <c r="L213" s="304">
        <f t="shared" ca="1" si="87"/>
        <v>418.90725354019054</v>
      </c>
      <c r="M213" s="306">
        <f t="shared" ca="1" si="103"/>
        <v>1.3581688341073181</v>
      </c>
      <c r="N213" s="304">
        <f t="shared" ca="1" si="104"/>
        <v>77.817342060552988</v>
      </c>
      <c r="P213" s="310">
        <f t="shared" ca="1" si="105"/>
        <v>23</v>
      </c>
      <c r="Q213" s="304">
        <f t="shared" ca="1" si="106"/>
        <v>0</v>
      </c>
      <c r="R213" s="306">
        <f t="shared" ca="1" si="107"/>
        <v>0</v>
      </c>
      <c r="S213" s="307">
        <f t="shared" ca="1" si="108"/>
        <v>7.9769999999999968</v>
      </c>
      <c r="T213" s="304">
        <f t="shared" ca="1" si="88"/>
        <v>78.254369999999966</v>
      </c>
      <c r="U213" s="311">
        <f t="shared" ca="1" si="89"/>
        <v>0</v>
      </c>
      <c r="V213" s="306">
        <f t="shared" ca="1" si="90"/>
        <v>1.1757168645443568</v>
      </c>
      <c r="W213" s="304">
        <f t="shared" ca="1" si="91"/>
        <v>116.35130563602418</v>
      </c>
      <c r="Y213" s="314" t="str">
        <f t="shared" ca="1" si="109"/>
        <v/>
      </c>
      <c r="Z213" s="315" t="str">
        <f t="shared" ca="1" si="110"/>
        <v/>
      </c>
      <c r="AA213" s="316" t="str">
        <f t="shared" ca="1" si="111"/>
        <v/>
      </c>
      <c r="AC213" s="310" t="e">
        <f t="shared" ca="1" si="112"/>
        <v>#N/A</v>
      </c>
      <c r="AD213" s="323" t="e">
        <f t="shared" ca="1" si="113"/>
        <v>#N/A</v>
      </c>
      <c r="AE213" s="324">
        <f t="shared" ca="1" si="92"/>
        <v>410.57016080067353</v>
      </c>
      <c r="AG213" s="306">
        <f t="shared" ca="1" si="114"/>
        <v>-24.620862849849487</v>
      </c>
      <c r="AH213" s="304">
        <f t="shared" ca="1" si="115"/>
        <v>-15.029330293273912</v>
      </c>
    </row>
    <row r="214" spans="1:34" x14ac:dyDescent="0.2">
      <c r="A214" s="347">
        <f t="shared" ca="1" si="93"/>
        <v>0.1</v>
      </c>
      <c r="B214" s="304">
        <f t="shared" ca="1" si="94"/>
        <v>3.0000000000000022</v>
      </c>
      <c r="D214" s="306">
        <f t="shared" ca="1" si="95"/>
        <v>-3.0780360335621988</v>
      </c>
      <c r="E214" s="307">
        <f t="shared" ca="1" si="96"/>
        <v>-24.067371494751718</v>
      </c>
      <c r="F214" s="304">
        <f t="shared" ca="1" si="97"/>
        <v>24.263401997458949</v>
      </c>
      <c r="G214" s="306">
        <f t="shared" ca="1" si="98"/>
        <v>36.218815088129233</v>
      </c>
      <c r="H214" s="307">
        <f t="shared" ca="1" si="99"/>
        <v>166.78347584779149</v>
      </c>
      <c r="I214" s="304">
        <f t="shared" ca="1" si="100"/>
        <v>170.67082463695704</v>
      </c>
      <c r="J214" s="306">
        <f t="shared" ca="1" si="101"/>
        <v>86.79633691156809</v>
      </c>
      <c r="K214" s="307">
        <f t="shared" ca="1" si="102"/>
        <v>427.36884524292645</v>
      </c>
      <c r="L214" s="304">
        <f t="shared" ca="1" si="87"/>
        <v>436.09372156170616</v>
      </c>
      <c r="M214" s="306">
        <f t="shared" ca="1" si="103"/>
        <v>1.3569558590858639</v>
      </c>
      <c r="N214" s="304">
        <f t="shared" ca="1" si="104"/>
        <v>77.747843711168869</v>
      </c>
      <c r="P214" s="310">
        <f t="shared" ca="1" si="105"/>
        <v>23</v>
      </c>
      <c r="Q214" s="304">
        <f t="shared" ca="1" si="106"/>
        <v>0</v>
      </c>
      <c r="R214" s="306">
        <f t="shared" ca="1" si="107"/>
        <v>0</v>
      </c>
      <c r="S214" s="307">
        <f t="shared" ca="1" si="108"/>
        <v>7.9769999999999968</v>
      </c>
      <c r="T214" s="304">
        <f t="shared" ca="1" si="88"/>
        <v>78.254369999999966</v>
      </c>
      <c r="U214" s="311">
        <f t="shared" ca="1" si="89"/>
        <v>0</v>
      </c>
      <c r="V214" s="306">
        <f t="shared" ca="1" si="90"/>
        <v>1.173742607098466</v>
      </c>
      <c r="W214" s="304">
        <f t="shared" ca="1" si="91"/>
        <v>112.93409507530951</v>
      </c>
      <c r="Y214" s="314" t="str">
        <f t="shared" ca="1" si="109"/>
        <v/>
      </c>
      <c r="Z214" s="315" t="str">
        <f t="shared" ca="1" si="110"/>
        <v/>
      </c>
      <c r="AA214" s="316" t="str">
        <f t="shared" ca="1" si="111"/>
        <v/>
      </c>
      <c r="AC214" s="310">
        <f t="shared" ca="1" si="112"/>
        <v>3.0000000000000022</v>
      </c>
      <c r="AD214" s="323">
        <f t="shared" ca="1" si="113"/>
        <v>86.79633691156809</v>
      </c>
      <c r="AE214" s="324">
        <f t="shared" ca="1" si="92"/>
        <v>427.36884524292645</v>
      </c>
      <c r="AG214" s="306">
        <f t="shared" ca="1" si="114"/>
        <v>-24.174924476433603</v>
      </c>
      <c r="AH214" s="304">
        <f t="shared" ca="1" si="115"/>
        <v>-14.585847516111849</v>
      </c>
    </row>
    <row r="215" spans="1:34" x14ac:dyDescent="0.2">
      <c r="A215" s="347">
        <f t="shared" ca="1" si="93"/>
        <v>0.1</v>
      </c>
      <c r="B215" s="304">
        <f t="shared" ca="1" si="94"/>
        <v>3.1000000000000023</v>
      </c>
      <c r="D215" s="306">
        <f t="shared" ca="1" si="95"/>
        <v>-3.0044185547136717</v>
      </c>
      <c r="E215" s="307">
        <f t="shared" ca="1" si="96"/>
        <v>-23.645001731488904</v>
      </c>
      <c r="F215" s="304">
        <f t="shared" ca="1" si="97"/>
        <v>23.83511354564985</v>
      </c>
      <c r="G215" s="306">
        <f t="shared" ca="1" si="98"/>
        <v>35.918373232657864</v>
      </c>
      <c r="H215" s="307">
        <f t="shared" ca="1" si="99"/>
        <v>164.41897567464261</v>
      </c>
      <c r="I215" s="304">
        <f t="shared" ca="1" si="100"/>
        <v>168.29655105669644</v>
      </c>
      <c r="J215" s="306">
        <f t="shared" ca="1" si="101"/>
        <v>90.403196327607446</v>
      </c>
      <c r="K215" s="307">
        <f t="shared" ca="1" si="102"/>
        <v>443.92896781904818</v>
      </c>
      <c r="L215" s="304">
        <f t="shared" ca="1" si="87"/>
        <v>453.04046880508747</v>
      </c>
      <c r="M215" s="306">
        <f t="shared" ca="1" si="103"/>
        <v>1.3557188614961981</v>
      </c>
      <c r="N215" s="304">
        <f t="shared" ca="1" si="104"/>
        <v>77.676968970013164</v>
      </c>
      <c r="P215" s="310">
        <f t="shared" ca="1" si="105"/>
        <v>23</v>
      </c>
      <c r="Q215" s="304">
        <f t="shared" ca="1" si="106"/>
        <v>0</v>
      </c>
      <c r="R215" s="306">
        <f t="shared" ca="1" si="107"/>
        <v>0</v>
      </c>
      <c r="S215" s="307">
        <f t="shared" ca="1" si="108"/>
        <v>7.9769999999999968</v>
      </c>
      <c r="T215" s="304">
        <f t="shared" ca="1" si="88"/>
        <v>78.254369999999966</v>
      </c>
      <c r="U215" s="311">
        <f t="shared" ca="1" si="89"/>
        <v>0</v>
      </c>
      <c r="V215" s="306">
        <f t="shared" ca="1" si="90"/>
        <v>1.1717995622138628</v>
      </c>
      <c r="W215" s="304">
        <f t="shared" ca="1" si="91"/>
        <v>109.63201490252374</v>
      </c>
      <c r="Y215" s="314" t="str">
        <f t="shared" ca="1" si="109"/>
        <v/>
      </c>
      <c r="Z215" s="315" t="str">
        <f t="shared" ca="1" si="110"/>
        <v/>
      </c>
      <c r="AA215" s="316" t="str">
        <f t="shared" ca="1" si="111"/>
        <v/>
      </c>
      <c r="AC215" s="310" t="e">
        <f t="shared" ca="1" si="112"/>
        <v>#N/A</v>
      </c>
      <c r="AD215" s="323" t="e">
        <f t="shared" ca="1" si="113"/>
        <v>#N/A</v>
      </c>
      <c r="AE215" s="324">
        <f t="shared" ca="1" si="92"/>
        <v>443.92896781904818</v>
      </c>
      <c r="AG215" s="306">
        <f t="shared" ca="1" si="114"/>
        <v>-23.744023408250278</v>
      </c>
      <c r="AH215" s="304">
        <f t="shared" ca="1" si="115"/>
        <v>-14.157464595124678</v>
      </c>
    </row>
    <row r="216" spans="1:34" x14ac:dyDescent="0.2">
      <c r="A216" s="347">
        <f t="shared" ca="1" si="93"/>
        <v>0.1</v>
      </c>
      <c r="B216" s="304">
        <f t="shared" ca="1" si="94"/>
        <v>3.2000000000000024</v>
      </c>
      <c r="D216" s="306">
        <f t="shared" ca="1" si="95"/>
        <v>-2.9331835920067517</v>
      </c>
      <c r="E216" s="307">
        <f t="shared" ca="1" si="96"/>
        <v>-23.236862027953041</v>
      </c>
      <c r="F216" s="304">
        <f t="shared" ca="1" si="97"/>
        <v>23.421257927159751</v>
      </c>
      <c r="G216" s="306">
        <f t="shared" ca="1" si="98"/>
        <v>35.625054873457188</v>
      </c>
      <c r="H216" s="307">
        <f t="shared" ca="1" si="99"/>
        <v>162.09528947184731</v>
      </c>
      <c r="I216" s="304">
        <f t="shared" ca="1" si="100"/>
        <v>165.96393404501717</v>
      </c>
      <c r="J216" s="306">
        <f t="shared" ca="1" si="101"/>
        <v>93.980367732913194</v>
      </c>
      <c r="K216" s="307">
        <f t="shared" ca="1" si="102"/>
        <v>460.25468107637266</v>
      </c>
      <c r="L216" s="304">
        <f t="shared" ca="1" si="87"/>
        <v>469.75172269181417</v>
      </c>
      <c r="M216" s="306">
        <f t="shared" ca="1" si="103"/>
        <v>1.3544573336402361</v>
      </c>
      <c r="N216" s="304">
        <f t="shared" ca="1" si="104"/>
        <v>77.604688748128353</v>
      </c>
      <c r="P216" s="310">
        <f t="shared" ca="1" si="105"/>
        <v>23</v>
      </c>
      <c r="Q216" s="304">
        <f t="shared" ca="1" si="106"/>
        <v>0</v>
      </c>
      <c r="R216" s="306">
        <f t="shared" ca="1" si="107"/>
        <v>0</v>
      </c>
      <c r="S216" s="307">
        <f t="shared" ca="1" si="108"/>
        <v>7.9769999999999968</v>
      </c>
      <c r="T216" s="304">
        <f t="shared" ca="1" si="88"/>
        <v>78.254369999999966</v>
      </c>
      <c r="U216" s="311">
        <f t="shared" ca="1" si="89"/>
        <v>0</v>
      </c>
      <c r="V216" s="306">
        <f t="shared" ca="1" si="90"/>
        <v>1.1698871000770068</v>
      </c>
      <c r="W216" s="304">
        <f t="shared" ca="1" si="91"/>
        <v>106.44003939356647</v>
      </c>
      <c r="Y216" s="314" t="str">
        <f t="shared" ca="1" si="109"/>
        <v/>
      </c>
      <c r="Z216" s="315" t="str">
        <f t="shared" ca="1" si="110"/>
        <v/>
      </c>
      <c r="AA216" s="316" t="str">
        <f t="shared" ca="1" si="111"/>
        <v>Satellite</v>
      </c>
      <c r="AC216" s="310" t="e">
        <f t="shared" ca="1" si="112"/>
        <v>#N/A</v>
      </c>
      <c r="AD216" s="323" t="e">
        <f t="shared" ca="1" si="113"/>
        <v>#N/A</v>
      </c>
      <c r="AE216" s="324">
        <f t="shared" ca="1" si="92"/>
        <v>460.25468107637266</v>
      </c>
      <c r="AG216" s="306">
        <f t="shared" ca="1" si="114"/>
        <v>-23.327490735232349</v>
      </c>
      <c r="AH216" s="304">
        <f t="shared" ca="1" si="115"/>
        <v>-13.743514466907833</v>
      </c>
    </row>
    <row r="217" spans="1:34" x14ac:dyDescent="0.2">
      <c r="A217" s="347">
        <f t="shared" ca="1" si="93"/>
        <v>0.1</v>
      </c>
      <c r="B217" s="304">
        <f t="shared" ca="1" si="94"/>
        <v>3.3000000000000025</v>
      </c>
      <c r="D217" s="306">
        <f t="shared" ca="1" si="95"/>
        <v>-2.8642258213154226</v>
      </c>
      <c r="E217" s="307">
        <f t="shared" ca="1" si="96"/>
        <v>-22.842331185678482</v>
      </c>
      <c r="F217" s="304">
        <f t="shared" ca="1" si="97"/>
        <v>23.021205084697669</v>
      </c>
      <c r="G217" s="306">
        <f t="shared" ca="1" si="98"/>
        <v>35.338632291325645</v>
      </c>
      <c r="H217" s="307">
        <f t="shared" ca="1" si="99"/>
        <v>159.81105635327947</v>
      </c>
      <c r="I217" s="304">
        <f t="shared" ca="1" si="100"/>
        <v>163.67160005624856</v>
      </c>
      <c r="J217" s="306">
        <f t="shared" ca="1" si="101"/>
        <v>97.528552091152335</v>
      </c>
      <c r="K217" s="307">
        <f t="shared" ca="1" si="102"/>
        <v>476.34999836762898</v>
      </c>
      <c r="L217" s="304">
        <f t="shared" ca="1" si="87"/>
        <v>486.23156974618252</v>
      </c>
      <c r="M217" s="306">
        <f t="shared" ca="1" si="103"/>
        <v>1.3531707511985984</v>
      </c>
      <c r="N217" s="304">
        <f t="shared" ca="1" si="104"/>
        <v>77.530973004226865</v>
      </c>
      <c r="P217" s="310">
        <f t="shared" ca="1" si="105"/>
        <v>23</v>
      </c>
      <c r="Q217" s="304">
        <f t="shared" ca="1" si="106"/>
        <v>0</v>
      </c>
      <c r="R217" s="306">
        <f t="shared" ca="1" si="107"/>
        <v>0</v>
      </c>
      <c r="S217" s="307">
        <f t="shared" ca="1" si="108"/>
        <v>7.9769999999999968</v>
      </c>
      <c r="T217" s="304">
        <f t="shared" ca="1" si="88"/>
        <v>78.254369999999966</v>
      </c>
      <c r="U217" s="311">
        <f t="shared" ca="1" si="89"/>
        <v>0</v>
      </c>
      <c r="V217" s="306">
        <f t="shared" ca="1" si="90"/>
        <v>1.1680046128292527</v>
      </c>
      <c r="W217" s="304">
        <f t="shared" ca="1" si="91"/>
        <v>103.35341872654499</v>
      </c>
      <c r="Y217" s="314" t="str">
        <f t="shared" ca="1" si="109"/>
        <v/>
      </c>
      <c r="Z217" s="315" t="str">
        <f t="shared" ca="1" si="110"/>
        <v/>
      </c>
      <c r="AA217" s="316" t="str">
        <f t="shared" ca="1" si="111"/>
        <v/>
      </c>
      <c r="AC217" s="310" t="e">
        <f t="shared" ca="1" si="112"/>
        <v>#N/A</v>
      </c>
      <c r="AD217" s="323" t="e">
        <f t="shared" ca="1" si="113"/>
        <v>#N/A</v>
      </c>
      <c r="AE217" s="324">
        <f t="shared" ca="1" si="92"/>
        <v>476.34999836762898</v>
      </c>
      <c r="AG217" s="306">
        <f t="shared" ca="1" si="114"/>
        <v>-22.924694510897098</v>
      </c>
      <c r="AH217" s="304">
        <f t="shared" ca="1" si="115"/>
        <v>-13.343367104621601</v>
      </c>
    </row>
    <row r="218" spans="1:34" x14ac:dyDescent="0.2">
      <c r="A218" s="347">
        <f t="shared" ca="1" si="93"/>
        <v>0.1</v>
      </c>
      <c r="B218" s="304">
        <f t="shared" ca="1" si="94"/>
        <v>3.4000000000000026</v>
      </c>
      <c r="D218" s="306">
        <f t="shared" ca="1" si="95"/>
        <v>-2.7974456889937622</v>
      </c>
      <c r="E218" s="307">
        <f t="shared" ca="1" si="96"/>
        <v>-22.46082210775765</v>
      </c>
      <c r="F218" s="304">
        <f t="shared" ca="1" si="97"/>
        <v>22.634359547802642</v>
      </c>
      <c r="G218" s="306">
        <f t="shared" ca="1" si="98"/>
        <v>35.05888772242627</v>
      </c>
      <c r="H218" s="307">
        <f t="shared" ca="1" si="99"/>
        <v>157.5649741425037</v>
      </c>
      <c r="I218" s="304">
        <f t="shared" ca="1" si="100"/>
        <v>161.41823529224186</v>
      </c>
      <c r="J218" s="306">
        <f t="shared" ca="1" si="101"/>
        <v>101.04842809183992</v>
      </c>
      <c r="K218" s="307">
        <f t="shared" ca="1" si="102"/>
        <v>492.21879989241813</v>
      </c>
      <c r="L218" s="304">
        <f t="shared" ca="1" si="87"/>
        <v>502.48396172153008</v>
      </c>
      <c r="M218" s="306">
        <f t="shared" ca="1" si="103"/>
        <v>1.3518585726131416</v>
      </c>
      <c r="N218" s="304">
        <f t="shared" ca="1" si="104"/>
        <v>77.455790709312751</v>
      </c>
      <c r="P218" s="310">
        <f t="shared" ca="1" si="105"/>
        <v>23</v>
      </c>
      <c r="Q218" s="304">
        <f t="shared" ca="1" si="106"/>
        <v>0</v>
      </c>
      <c r="R218" s="306">
        <f t="shared" ca="1" si="107"/>
        <v>0</v>
      </c>
      <c r="S218" s="307">
        <f t="shared" ca="1" si="108"/>
        <v>7.9769999999999968</v>
      </c>
      <c r="T218" s="304">
        <f t="shared" ca="1" si="88"/>
        <v>78.254369999999966</v>
      </c>
      <c r="U218" s="311">
        <f t="shared" ca="1" si="89"/>
        <v>0</v>
      </c>
      <c r="V218" s="306">
        <f t="shared" ca="1" si="90"/>
        <v>1.1661515135812064</v>
      </c>
      <c r="W218" s="304">
        <f t="shared" ca="1" si="91"/>
        <v>100.36766094126627</v>
      </c>
      <c r="Y218" s="314" t="str">
        <f t="shared" ca="1" si="109"/>
        <v/>
      </c>
      <c r="Z218" s="315" t="str">
        <f t="shared" ca="1" si="110"/>
        <v/>
      </c>
      <c r="AA218" s="316" t="str">
        <f t="shared" ca="1" si="111"/>
        <v/>
      </c>
      <c r="AC218" s="310" t="e">
        <f t="shared" ca="1" si="112"/>
        <v>#N/A</v>
      </c>
      <c r="AD218" s="323" t="e">
        <f t="shared" ca="1" si="113"/>
        <v>#N/A</v>
      </c>
      <c r="AE218" s="324">
        <f t="shared" ca="1" si="92"/>
        <v>492.21879989241813</v>
      </c>
      <c r="AG218" s="306">
        <f t="shared" ca="1" si="114"/>
        <v>-22.535037299657265</v>
      </c>
      <c r="AH218" s="304">
        <f t="shared" ca="1" si="115"/>
        <v>-12.956427068640471</v>
      </c>
    </row>
    <row r="219" spans="1:34" x14ac:dyDescent="0.2">
      <c r="A219" s="347">
        <f t="shared" ca="1" si="93"/>
        <v>0.1</v>
      </c>
      <c r="B219" s="304">
        <f t="shared" ca="1" si="94"/>
        <v>3.5000000000000027</v>
      </c>
      <c r="D219" s="306">
        <f t="shared" ca="1" si="95"/>
        <v>-2.7327490343840588</v>
      </c>
      <c r="E219" s="307">
        <f t="shared" ca="1" si="96"/>
        <v>-22.091779568986205</v>
      </c>
      <c r="F219" s="304">
        <f t="shared" ca="1" si="97"/>
        <v>22.26015817126202</v>
      </c>
      <c r="G219" s="306">
        <f t="shared" ca="1" si="98"/>
        <v>34.785612818987865</v>
      </c>
      <c r="H219" s="307">
        <f t="shared" ca="1" si="99"/>
        <v>155.35579618560507</v>
      </c>
      <c r="I219" s="304">
        <f t="shared" ca="1" si="100"/>
        <v>159.20258247797301</v>
      </c>
      <c r="J219" s="306">
        <f t="shared" ca="1" si="101"/>
        <v>104.54065311891063</v>
      </c>
      <c r="K219" s="307">
        <f t="shared" ca="1" si="102"/>
        <v>507.86483840882357</v>
      </c>
      <c r="L219" s="304">
        <f t="shared" ca="1" si="87"/>
        <v>518.51272139316779</v>
      </c>
      <c r="M219" s="306">
        <f t="shared" ca="1" si="103"/>
        <v>1.3505202384405899</v>
      </c>
      <c r="N219" s="304">
        <f t="shared" ca="1" si="104"/>
        <v>77.379109809647403</v>
      </c>
      <c r="P219" s="310">
        <f t="shared" ca="1" si="105"/>
        <v>23</v>
      </c>
      <c r="Q219" s="304">
        <f t="shared" ca="1" si="106"/>
        <v>0</v>
      </c>
      <c r="R219" s="306">
        <f t="shared" ca="1" si="107"/>
        <v>0</v>
      </c>
      <c r="S219" s="307">
        <f t="shared" ca="1" si="108"/>
        <v>7.9769999999999968</v>
      </c>
      <c r="T219" s="304">
        <f t="shared" ca="1" si="88"/>
        <v>78.254369999999966</v>
      </c>
      <c r="U219" s="311">
        <f t="shared" ca="1" si="89"/>
        <v>0</v>
      </c>
      <c r="V219" s="306">
        <f t="shared" ca="1" si="90"/>
        <v>1.1643272354822993</v>
      </c>
      <c r="W219" s="304">
        <f t="shared" ca="1" si="91"/>
        <v>97.478515266472058</v>
      </c>
      <c r="Y219" s="314" t="str">
        <f t="shared" ca="1" si="109"/>
        <v/>
      </c>
      <c r="Z219" s="315" t="str">
        <f t="shared" ca="1" si="110"/>
        <v/>
      </c>
      <c r="AA219" s="316" t="str">
        <f t="shared" ca="1" si="111"/>
        <v/>
      </c>
      <c r="AC219" s="310" t="e">
        <f t="shared" ca="1" si="112"/>
        <v>#N/A</v>
      </c>
      <c r="AD219" s="323" t="e">
        <f t="shared" ca="1" si="113"/>
        <v>#N/A</v>
      </c>
      <c r="AE219" s="324">
        <f t="shared" ca="1" si="92"/>
        <v>507.86483840882357</v>
      </c>
      <c r="AG219" s="306">
        <f t="shared" ca="1" si="114"/>
        <v>-22.157953911735937</v>
      </c>
      <c r="AH219" s="304">
        <f t="shared" ca="1" si="115"/>
        <v>-12.582131244987627</v>
      </c>
    </row>
    <row r="220" spans="1:34" x14ac:dyDescent="0.2">
      <c r="A220" s="347">
        <f t="shared" ca="1" si="93"/>
        <v>0.1</v>
      </c>
      <c r="B220" s="304">
        <f t="shared" ca="1" si="94"/>
        <v>3.6000000000000028</v>
      </c>
      <c r="D220" s="306">
        <f t="shared" ca="1" si="95"/>
        <v>-2.6700467409497048</v>
      </c>
      <c r="E220" s="307">
        <f t="shared" ca="1" si="96"/>
        <v>-21.734678155061772</v>
      </c>
      <c r="F220" s="304">
        <f t="shared" ca="1" si="97"/>
        <v>21.898068044989163</v>
      </c>
      <c r="G220" s="306">
        <f t="shared" ca="1" si="98"/>
        <v>34.518608144892895</v>
      </c>
      <c r="H220" s="307">
        <f t="shared" ca="1" si="99"/>
        <v>153.1823283700989</v>
      </c>
      <c r="I220" s="304">
        <f t="shared" ca="1" si="100"/>
        <v>157.02343784653766</v>
      </c>
      <c r="J220" s="306">
        <f t="shared" ca="1" si="101"/>
        <v>108.00586416710466</v>
      </c>
      <c r="K220" s="307">
        <f t="shared" ca="1" si="102"/>
        <v>523.29174463660877</v>
      </c>
      <c r="L220" s="304">
        <f t="shared" ca="1" si="87"/>
        <v>534.32154803948231</v>
      </c>
      <c r="M220" s="306">
        <f t="shared" ca="1" si="103"/>
        <v>1.3491551706757696</v>
      </c>
      <c r="N220" s="304">
        <f t="shared" ca="1" si="104"/>
        <v>77.300897187973845</v>
      </c>
      <c r="P220" s="310">
        <f t="shared" ca="1" si="105"/>
        <v>23</v>
      </c>
      <c r="Q220" s="304">
        <f t="shared" ca="1" si="106"/>
        <v>0</v>
      </c>
      <c r="R220" s="306">
        <f t="shared" ca="1" si="107"/>
        <v>0</v>
      </c>
      <c r="S220" s="307">
        <f t="shared" ca="1" si="108"/>
        <v>7.9769999999999968</v>
      </c>
      <c r="T220" s="304">
        <f t="shared" ca="1" si="88"/>
        <v>78.254369999999966</v>
      </c>
      <c r="U220" s="311">
        <f t="shared" ca="1" si="89"/>
        <v>0</v>
      </c>
      <c r="V220" s="306">
        <f t="shared" ca="1" si="90"/>
        <v>1.1625312308419173</v>
      </c>
      <c r="W220" s="304">
        <f t="shared" ca="1" si="91"/>
        <v>94.681956697230049</v>
      </c>
      <c r="Y220" s="314" t="str">
        <f t="shared" ca="1" si="109"/>
        <v/>
      </c>
      <c r="Z220" s="315" t="str">
        <f t="shared" ca="1" si="110"/>
        <v/>
      </c>
      <c r="AA220" s="316" t="str">
        <f t="shared" ca="1" si="111"/>
        <v/>
      </c>
      <c r="AC220" s="310" t="e">
        <f t="shared" ca="1" si="112"/>
        <v>#N/A</v>
      </c>
      <c r="AD220" s="323" t="e">
        <f t="shared" ca="1" si="113"/>
        <v>#N/A</v>
      </c>
      <c r="AE220" s="324">
        <f t="shared" ca="1" si="92"/>
        <v>523.29174463660877</v>
      </c>
      <c r="AG220" s="306">
        <f t="shared" ca="1" si="114"/>
        <v>-21.79290930934998</v>
      </c>
      <c r="AH220" s="304">
        <f t="shared" ca="1" si="115"/>
        <v>-12.2199467552303</v>
      </c>
    </row>
    <row r="221" spans="1:34" x14ac:dyDescent="0.2">
      <c r="A221" s="347">
        <f t="shared" ca="1" si="93"/>
        <v>0.1</v>
      </c>
      <c r="B221" s="304">
        <f t="shared" ca="1" si="94"/>
        <v>3.7000000000000028</v>
      </c>
      <c r="D221" s="306">
        <f t="shared" ca="1" si="95"/>
        <v>-2.6092544135721578</v>
      </c>
      <c r="E221" s="307">
        <f t="shared" ca="1" si="96"/>
        <v>-21.389020356302392</v>
      </c>
      <c r="F221" s="304">
        <f t="shared" ca="1" si="97"/>
        <v>21.547584560619871</v>
      </c>
      <c r="G221" s="306">
        <f t="shared" ca="1" si="98"/>
        <v>34.257682703535679</v>
      </c>
      <c r="H221" s="307">
        <f t="shared" ca="1" si="99"/>
        <v>151.04342633446865</v>
      </c>
      <c r="I221" s="304">
        <f t="shared" ca="1" si="100"/>
        <v>154.87964831788645</v>
      </c>
      <c r="J221" s="306">
        <f t="shared" ca="1" si="101"/>
        <v>111.44467870952609</v>
      </c>
      <c r="K221" s="307">
        <f t="shared" ca="1" si="102"/>
        <v>538.50303237183709</v>
      </c>
      <c r="L221" s="304">
        <f t="shared" ca="1" si="87"/>
        <v>549.91402263111399</v>
      </c>
      <c r="M221" s="306">
        <f t="shared" ca="1" si="103"/>
        <v>1.3477627720428476</v>
      </c>
      <c r="N221" s="304">
        <f t="shared" ca="1" si="104"/>
        <v>77.221118622907625</v>
      </c>
      <c r="P221" s="310">
        <f t="shared" ca="1" si="105"/>
        <v>23</v>
      </c>
      <c r="Q221" s="304">
        <f t="shared" ca="1" si="106"/>
        <v>0</v>
      </c>
      <c r="R221" s="306">
        <f t="shared" ca="1" si="107"/>
        <v>0</v>
      </c>
      <c r="S221" s="307">
        <f t="shared" ca="1" si="108"/>
        <v>7.9769999999999968</v>
      </c>
      <c r="T221" s="304">
        <f t="shared" ca="1" si="88"/>
        <v>78.254369999999966</v>
      </c>
      <c r="U221" s="311">
        <f t="shared" ca="1" si="89"/>
        <v>0</v>
      </c>
      <c r="V221" s="306">
        <f t="shared" ca="1" si="90"/>
        <v>1.1607629702986859</v>
      </c>
      <c r="W221" s="304">
        <f t="shared" ca="1" si="91"/>
        <v>91.974171716170559</v>
      </c>
      <c r="Y221" s="314" t="str">
        <f t="shared" ca="1" si="109"/>
        <v/>
      </c>
      <c r="Z221" s="315" t="str">
        <f t="shared" ca="1" si="110"/>
        <v/>
      </c>
      <c r="AA221" s="316" t="str">
        <f t="shared" ca="1" si="111"/>
        <v/>
      </c>
      <c r="AC221" s="310" t="e">
        <f t="shared" ca="1" si="112"/>
        <v>#N/A</v>
      </c>
      <c r="AD221" s="323" t="e">
        <f t="shared" ca="1" si="113"/>
        <v>#N/A</v>
      </c>
      <c r="AE221" s="324">
        <f t="shared" ca="1" si="92"/>
        <v>538.50303237183709</v>
      </c>
      <c r="AG221" s="306">
        <f t="shared" ca="1" si="114"/>
        <v>-21.439396669409394</v>
      </c>
      <c r="AH221" s="304">
        <f t="shared" ca="1" si="115"/>
        <v>-11.86936902309516</v>
      </c>
    </row>
    <row r="222" spans="1:34" x14ac:dyDescent="0.2">
      <c r="A222" s="347">
        <f t="shared" ca="1" si="93"/>
        <v>0.1</v>
      </c>
      <c r="B222" s="304">
        <f t="shared" ca="1" si="94"/>
        <v>3.8000000000000029</v>
      </c>
      <c r="D222" s="306">
        <f t="shared" ca="1" si="95"/>
        <v>-2.5502920797873596</v>
      </c>
      <c r="E222" s="307">
        <f t="shared" ca="1" si="96"/>
        <v>-21.0543348027444</v>
      </c>
      <c r="F222" s="304">
        <f t="shared" ca="1" si="97"/>
        <v>21.208229621500241</v>
      </c>
      <c r="G222" s="306">
        <f t="shared" ca="1" si="98"/>
        <v>34.002653495556942</v>
      </c>
      <c r="H222" s="307">
        <f t="shared" ca="1" si="99"/>
        <v>148.93799285419422</v>
      </c>
      <c r="I222" s="304">
        <f t="shared" ca="1" si="100"/>
        <v>152.77010885698459</v>
      </c>
      <c r="J222" s="306">
        <f t="shared" ca="1" si="101"/>
        <v>114.85769551948071</v>
      </c>
      <c r="K222" s="307">
        <f t="shared" ca="1" si="102"/>
        <v>553.50210333127029</v>
      </c>
      <c r="L222" s="304">
        <f t="shared" ca="1" si="87"/>
        <v>565.29361274667338</v>
      </c>
      <c r="M222" s="306">
        <f t="shared" ca="1" si="103"/>
        <v>1.3463424252528864</v>
      </c>
      <c r="N222" s="304">
        <f t="shared" ca="1" si="104"/>
        <v>77.139738746397896</v>
      </c>
      <c r="P222" s="310">
        <f t="shared" ca="1" si="105"/>
        <v>23</v>
      </c>
      <c r="Q222" s="304">
        <f t="shared" ca="1" si="106"/>
        <v>0</v>
      </c>
      <c r="R222" s="306">
        <f t="shared" ca="1" si="107"/>
        <v>0</v>
      </c>
      <c r="S222" s="307">
        <f t="shared" ca="1" si="108"/>
        <v>7.9769999999999968</v>
      </c>
      <c r="T222" s="304">
        <f t="shared" ca="1" si="88"/>
        <v>78.254369999999966</v>
      </c>
      <c r="U222" s="311">
        <f t="shared" ca="1" si="89"/>
        <v>0</v>
      </c>
      <c r="V222" s="306">
        <f t="shared" ca="1" si="90"/>
        <v>1.1590219420347923</v>
      </c>
      <c r="W222" s="304">
        <f t="shared" ca="1" si="91"/>
        <v>89.351545062351946</v>
      </c>
      <c r="Y222" s="314" t="str">
        <f t="shared" ca="1" si="109"/>
        <v/>
      </c>
      <c r="Z222" s="315" t="str">
        <f t="shared" ca="1" si="110"/>
        <v/>
      </c>
      <c r="AA222" s="316" t="str">
        <f t="shared" ca="1" si="111"/>
        <v/>
      </c>
      <c r="AC222" s="310" t="e">
        <f t="shared" ca="1" si="112"/>
        <v>#N/A</v>
      </c>
      <c r="AD222" s="323" t="e">
        <f t="shared" ca="1" si="113"/>
        <v>#N/A</v>
      </c>
      <c r="AE222" s="324">
        <f t="shared" ca="1" si="92"/>
        <v>553.50210333127029</v>
      </c>
      <c r="AG222" s="306">
        <f t="shared" ca="1" si="114"/>
        <v>-21.0969355893928</v>
      </c>
      <c r="AH222" s="304">
        <f t="shared" ca="1" si="115"/>
        <v>-11.529919984476695</v>
      </c>
    </row>
    <row r="223" spans="1:34" x14ac:dyDescent="0.2">
      <c r="A223" s="347">
        <f t="shared" ca="1" si="93"/>
        <v>0.1</v>
      </c>
      <c r="B223" s="304">
        <f t="shared" ca="1" si="94"/>
        <v>3.900000000000003</v>
      </c>
      <c r="D223" s="306">
        <f t="shared" ca="1" si="95"/>
        <v>-2.4930839129481788</v>
      </c>
      <c r="E223" s="307">
        <f t="shared" ca="1" si="96"/>
        <v>-20.730174628727177</v>
      </c>
      <c r="F223" s="304">
        <f t="shared" ca="1" si="97"/>
        <v>20.879549984004086</v>
      </c>
      <c r="G223" s="306">
        <f t="shared" ca="1" si="98"/>
        <v>33.753345104262124</v>
      </c>
      <c r="H223" s="307">
        <f t="shared" ca="1" si="99"/>
        <v>146.86497539132151</v>
      </c>
      <c r="I223" s="304">
        <f t="shared" ca="1" si="100"/>
        <v>150.69375999828557</v>
      </c>
      <c r="J223" s="306">
        <f t="shared" ca="1" si="101"/>
        <v>118.24549544947166</v>
      </c>
      <c r="K223" s="307">
        <f t="shared" ca="1" si="102"/>
        <v>568.2922517435461</v>
      </c>
      <c r="L223" s="304">
        <f t="shared" ca="1" si="87"/>
        <v>580.46367723212541</v>
      </c>
      <c r="M223" s="306">
        <f t="shared" ca="1" si="103"/>
        <v>1.3448934922259177</v>
      </c>
      <c r="N223" s="304">
        <f t="shared" ca="1" si="104"/>
        <v>77.056720999155473</v>
      </c>
      <c r="P223" s="310">
        <f t="shared" ca="1" si="105"/>
        <v>23</v>
      </c>
      <c r="Q223" s="304">
        <f t="shared" ca="1" si="106"/>
        <v>0</v>
      </c>
      <c r="R223" s="306">
        <f t="shared" ca="1" si="107"/>
        <v>0</v>
      </c>
      <c r="S223" s="307">
        <f t="shared" ca="1" si="108"/>
        <v>7.9769999999999968</v>
      </c>
      <c r="T223" s="304">
        <f t="shared" ca="1" si="88"/>
        <v>78.254369999999966</v>
      </c>
      <c r="U223" s="311">
        <f t="shared" ca="1" si="89"/>
        <v>0</v>
      </c>
      <c r="V223" s="306">
        <f t="shared" ca="1" si="90"/>
        <v>1.1573076510324447</v>
      </c>
      <c r="W223" s="304">
        <f t="shared" ca="1" si="91"/>
        <v>86.810647460567324</v>
      </c>
      <c r="Y223" s="314" t="str">
        <f t="shared" ca="1" si="109"/>
        <v/>
      </c>
      <c r="Z223" s="315" t="str">
        <f t="shared" ca="1" si="110"/>
        <v/>
      </c>
      <c r="AA223" s="316" t="str">
        <f t="shared" ca="1" si="111"/>
        <v/>
      </c>
      <c r="AC223" s="310" t="e">
        <f t="shared" ca="1" si="112"/>
        <v>#N/A</v>
      </c>
      <c r="AD223" s="323" t="e">
        <f t="shared" ca="1" si="113"/>
        <v>#N/A</v>
      </c>
      <c r="AE223" s="324">
        <f t="shared" ca="1" si="92"/>
        <v>568.2922517435461</v>
      </c>
      <c r="AG223" s="306">
        <f t="shared" ca="1" si="114"/>
        <v>-20.765070424323753</v>
      </c>
      <c r="AH223" s="304">
        <f t="shared" ca="1" si="115"/>
        <v>-11.201146428776731</v>
      </c>
    </row>
    <row r="224" spans="1:34" x14ac:dyDescent="0.2">
      <c r="A224" s="347">
        <f t="shared" ca="1" si="93"/>
        <v>0.1</v>
      </c>
      <c r="B224" s="304">
        <f t="shared" ca="1" si="94"/>
        <v>4.0000000000000027</v>
      </c>
      <c r="D224" s="306">
        <f t="shared" ca="1" si="95"/>
        <v>-2.4375579754885202</v>
      </c>
      <c r="E224" s="307">
        <f t="shared" ca="1" si="96"/>
        <v>-20.416115956188186</v>
      </c>
      <c r="F224" s="304">
        <f t="shared" ca="1" si="97"/>
        <v>20.561115719250001</v>
      </c>
      <c r="G224" s="306">
        <f t="shared" ca="1" si="98"/>
        <v>33.509589306713274</v>
      </c>
      <c r="H224" s="307">
        <f t="shared" ca="1" si="99"/>
        <v>144.82336379570268</v>
      </c>
      <c r="I224" s="304">
        <f t="shared" ca="1" si="100"/>
        <v>148.64958552450469</v>
      </c>
      <c r="J224" s="306">
        <f t="shared" ca="1" si="101"/>
        <v>121.60864217002043</v>
      </c>
      <c r="K224" s="307">
        <f t="shared" ca="1" si="102"/>
        <v>582.87666870289729</v>
      </c>
      <c r="L224" s="304">
        <f t="shared" ca="1" si="87"/>
        <v>595.42747061974148</v>
      </c>
      <c r="M224" s="306">
        <f t="shared" ca="1" si="103"/>
        <v>1.343415313275629</v>
      </c>
      <c r="N224" s="304">
        <f t="shared" ca="1" si="104"/>
        <v>76.972027583938853</v>
      </c>
      <c r="P224" s="310">
        <f t="shared" ca="1" si="105"/>
        <v>23</v>
      </c>
      <c r="Q224" s="304">
        <f t="shared" ca="1" si="106"/>
        <v>0</v>
      </c>
      <c r="R224" s="306">
        <f t="shared" ca="1" si="107"/>
        <v>0</v>
      </c>
      <c r="S224" s="307">
        <f t="shared" ca="1" si="108"/>
        <v>7.9769999999999968</v>
      </c>
      <c r="T224" s="304">
        <f t="shared" ca="1" si="88"/>
        <v>78.254369999999966</v>
      </c>
      <c r="U224" s="311">
        <f t="shared" ca="1" si="89"/>
        <v>0</v>
      </c>
      <c r="V224" s="306">
        <f t="shared" ca="1" si="90"/>
        <v>1.1556196183697927</v>
      </c>
      <c r="W224" s="304">
        <f t="shared" ca="1" si="91"/>
        <v>84.348224232007638</v>
      </c>
      <c r="Y224" s="314" t="str">
        <f t="shared" ca="1" si="109"/>
        <v/>
      </c>
      <c r="Z224" s="315" t="str">
        <f t="shared" ca="1" si="110"/>
        <v/>
      </c>
      <c r="AA224" s="316" t="str">
        <f t="shared" ca="1" si="111"/>
        <v/>
      </c>
      <c r="AC224" s="310">
        <f t="shared" ca="1" si="112"/>
        <v>4.0000000000000027</v>
      </c>
      <c r="AD224" s="323">
        <f t="shared" ca="1" si="113"/>
        <v>121.60864217002043</v>
      </c>
      <c r="AE224" s="324">
        <f t="shared" ca="1" si="92"/>
        <v>582.87666870289729</v>
      </c>
      <c r="AG224" s="306">
        <f t="shared" ca="1" si="114"/>
        <v>-20.443368743903555</v>
      </c>
      <c r="AH224" s="304">
        <f t="shared" ca="1" si="115"/>
        <v>-10.882618460645276</v>
      </c>
    </row>
    <row r="225" spans="1:34" x14ac:dyDescent="0.2">
      <c r="A225" s="347">
        <f t="shared" ca="1" si="93"/>
        <v>0.1</v>
      </c>
      <c r="B225" s="304">
        <f t="shared" ca="1" si="94"/>
        <v>4.1000000000000023</v>
      </c>
      <c r="D225" s="306">
        <f t="shared" ca="1" si="95"/>
        <v>-2.3836459806342649</v>
      </c>
      <c r="E225" s="307">
        <f t="shared" ca="1" si="96"/>
        <v>-20.111756486893206</v>
      </c>
      <c r="F225" s="304">
        <f t="shared" ca="1" si="97"/>
        <v>20.252518785303838</v>
      </c>
      <c r="G225" s="306">
        <f t="shared" ca="1" si="98"/>
        <v>33.271224708649846</v>
      </c>
      <c r="H225" s="307">
        <f t="shared" ca="1" si="99"/>
        <v>142.81218814701336</v>
      </c>
      <c r="I225" s="304">
        <f t="shared" ca="1" si="100"/>
        <v>146.63661028867045</v>
      </c>
      <c r="J225" s="306">
        <f t="shared" ca="1" si="101"/>
        <v>124.94768287078858</v>
      </c>
      <c r="K225" s="307">
        <f t="shared" ca="1" si="102"/>
        <v>597.25844630003314</v>
      </c>
      <c r="L225" s="304">
        <f t="shared" ca="1" si="87"/>
        <v>610.18814732138867</v>
      </c>
      <c r="M225" s="306">
        <f t="shared" ca="1" si="103"/>
        <v>1.3419072062546413</v>
      </c>
      <c r="N225" s="304">
        <f t="shared" ca="1" si="104"/>
        <v>76.885619416582216</v>
      </c>
      <c r="P225" s="310">
        <f t="shared" ca="1" si="105"/>
        <v>23</v>
      </c>
      <c r="Q225" s="304">
        <f t="shared" ca="1" si="106"/>
        <v>0</v>
      </c>
      <c r="R225" s="306">
        <f t="shared" ca="1" si="107"/>
        <v>0</v>
      </c>
      <c r="S225" s="307">
        <f t="shared" ca="1" si="108"/>
        <v>7.9769999999999968</v>
      </c>
      <c r="T225" s="304">
        <f t="shared" ca="1" si="88"/>
        <v>78.254369999999966</v>
      </c>
      <c r="U225" s="311">
        <f t="shared" ca="1" si="89"/>
        <v>0</v>
      </c>
      <c r="V225" s="306">
        <f t="shared" ca="1" si="90"/>
        <v>1.1539573805538212</v>
      </c>
      <c r="W225" s="304">
        <f t="shared" ca="1" si="91"/>
        <v>81.961184714463855</v>
      </c>
      <c r="Y225" s="314" t="str">
        <f t="shared" ca="1" si="109"/>
        <v/>
      </c>
      <c r="Z225" s="315" t="str">
        <f t="shared" ca="1" si="110"/>
        <v/>
      </c>
      <c r="AA225" s="316" t="str">
        <f t="shared" ca="1" si="111"/>
        <v/>
      </c>
      <c r="AC225" s="310" t="e">
        <f t="shared" ca="1" si="112"/>
        <v>#N/A</v>
      </c>
      <c r="AD225" s="323" t="e">
        <f t="shared" ca="1" si="113"/>
        <v>#N/A</v>
      </c>
      <c r="AE225" s="324">
        <f t="shared" ca="1" si="92"/>
        <v>597.25844630003314</v>
      </c>
      <c r="AG225" s="306">
        <f t="shared" ca="1" si="114"/>
        <v>-20.131419899870867</v>
      </c>
      <c r="AH225" s="304">
        <f t="shared" ca="1" si="115"/>
        <v>-10.573928072208558</v>
      </c>
    </row>
    <row r="226" spans="1:34" x14ac:dyDescent="0.2">
      <c r="A226" s="347">
        <f t="shared" ca="1" si="93"/>
        <v>0.1</v>
      </c>
      <c r="B226" s="304">
        <f t="shared" ca="1" si="94"/>
        <v>4.200000000000002</v>
      </c>
      <c r="D226" s="306">
        <f t="shared" ca="1" si="95"/>
        <v>-2.3312830710583308</v>
      </c>
      <c r="E226" s="307">
        <f t="shared" ca="1" si="96"/>
        <v>-19.816714194724938</v>
      </c>
      <c r="F226" s="304">
        <f t="shared" ca="1" si="97"/>
        <v>19.953371700863389</v>
      </c>
      <c r="G226" s="306">
        <f t="shared" ca="1" si="98"/>
        <v>33.03809640154401</v>
      </c>
      <c r="H226" s="307">
        <f t="shared" ca="1" si="99"/>
        <v>140.83051672754087</v>
      </c>
      <c r="I226" s="304">
        <f t="shared" ca="1" si="100"/>
        <v>144.65389816933342</v>
      </c>
      <c r="J226" s="306">
        <f t="shared" ca="1" si="101"/>
        <v>128.26314892629827</v>
      </c>
      <c r="K226" s="307">
        <f t="shared" ca="1" si="102"/>
        <v>611.4405815437608</v>
      </c>
      <c r="L226" s="304">
        <f t="shared" ca="1" si="87"/>
        <v>624.74876560987468</v>
      </c>
      <c r="M226" s="306">
        <f t="shared" ca="1" si="103"/>
        <v>1.3403684656582293</v>
      </c>
      <c r="N226" s="304">
        <f t="shared" ca="1" si="104"/>
        <v>76.797456074642369</v>
      </c>
      <c r="P226" s="310">
        <f t="shared" ca="1" si="105"/>
        <v>23</v>
      </c>
      <c r="Q226" s="304">
        <f t="shared" ca="1" si="106"/>
        <v>0</v>
      </c>
      <c r="R226" s="306">
        <f t="shared" ca="1" si="107"/>
        <v>0</v>
      </c>
      <c r="S226" s="307">
        <f t="shared" ca="1" si="108"/>
        <v>7.9769999999999968</v>
      </c>
      <c r="T226" s="304">
        <f t="shared" ca="1" si="88"/>
        <v>78.254369999999966</v>
      </c>
      <c r="U226" s="311">
        <f t="shared" ca="1" si="89"/>
        <v>0</v>
      </c>
      <c r="V226" s="306">
        <f t="shared" ca="1" si="90"/>
        <v>1.1523204888879237</v>
      </c>
      <c r="W226" s="304">
        <f t="shared" ca="1" si="91"/>
        <v>79.646592426785688</v>
      </c>
      <c r="Y226" s="314" t="str">
        <f t="shared" ca="1" si="109"/>
        <v/>
      </c>
      <c r="Z226" s="315" t="str">
        <f t="shared" ca="1" si="110"/>
        <v/>
      </c>
      <c r="AA226" s="316" t="str">
        <f t="shared" ca="1" si="111"/>
        <v/>
      </c>
      <c r="AC226" s="310" t="e">
        <f t="shared" ca="1" si="112"/>
        <v>#N/A</v>
      </c>
      <c r="AD226" s="323" t="e">
        <f t="shared" ca="1" si="113"/>
        <v>#N/A</v>
      </c>
      <c r="AE226" s="324">
        <f t="shared" ca="1" si="92"/>
        <v>611.4405815437608</v>
      </c>
      <c r="AG226" s="306">
        <f t="shared" ca="1" si="114"/>
        <v>-19.828833694568512</v>
      </c>
      <c r="AH226" s="304">
        <f t="shared" ca="1" si="115"/>
        <v>-10.274687816781231</v>
      </c>
    </row>
    <row r="227" spans="1:34" x14ac:dyDescent="0.2">
      <c r="A227" s="347">
        <f t="shared" ca="1" si="93"/>
        <v>0.1</v>
      </c>
      <c r="B227" s="304">
        <f t="shared" ca="1" si="94"/>
        <v>4.3000000000000016</v>
      </c>
      <c r="D227" s="306">
        <f t="shared" ca="1" si="95"/>
        <v>-2.2804076131139182</v>
      </c>
      <c r="E227" s="307">
        <f t="shared" ca="1" si="96"/>
        <v>-19.530626109960814</v>
      </c>
      <c r="F227" s="304">
        <f t="shared" ca="1" si="97"/>
        <v>19.66330631224136</v>
      </c>
      <c r="G227" s="306">
        <f t="shared" ca="1" si="98"/>
        <v>32.810055640232619</v>
      </c>
      <c r="H227" s="307">
        <f t="shared" ca="1" si="99"/>
        <v>138.87745411654478</v>
      </c>
      <c r="I227" s="304">
        <f t="shared" ca="1" si="100"/>
        <v>142.70055014963384</v>
      </c>
      <c r="J227" s="306">
        <f t="shared" ca="1" si="101"/>
        <v>131.55555652838711</v>
      </c>
      <c r="K227" s="307">
        <f t="shared" ca="1" si="102"/>
        <v>625.42598008596508</v>
      </c>
      <c r="L227" s="304">
        <f t="shared" ca="1" si="87"/>
        <v>639.11229140111493</v>
      </c>
      <c r="M227" s="306">
        <f t="shared" ca="1" si="103"/>
        <v>1.338798361684197</v>
      </c>
      <c r="N227" s="304">
        <f t="shared" ca="1" si="104"/>
        <v>76.707495743533585</v>
      </c>
      <c r="P227" s="310">
        <f t="shared" ca="1" si="105"/>
        <v>23</v>
      </c>
      <c r="Q227" s="304">
        <f t="shared" ca="1" si="106"/>
        <v>0</v>
      </c>
      <c r="R227" s="306">
        <f t="shared" ca="1" si="107"/>
        <v>0</v>
      </c>
      <c r="S227" s="307">
        <f t="shared" ca="1" si="108"/>
        <v>7.9769999999999968</v>
      </c>
      <c r="T227" s="304">
        <f t="shared" ca="1" si="88"/>
        <v>78.254369999999966</v>
      </c>
      <c r="U227" s="311">
        <f t="shared" ca="1" si="89"/>
        <v>0</v>
      </c>
      <c r="V227" s="306">
        <f t="shared" ca="1" si="90"/>
        <v>1.1507085088720079</v>
      </c>
      <c r="W227" s="304">
        <f t="shared" ca="1" si="91"/>
        <v>77.401655918192944</v>
      </c>
      <c r="Y227" s="314" t="str">
        <f t="shared" ca="1" si="109"/>
        <v/>
      </c>
      <c r="Z227" s="315" t="str">
        <f t="shared" ca="1" si="110"/>
        <v/>
      </c>
      <c r="AA227" s="316" t="str">
        <f t="shared" ca="1" si="111"/>
        <v/>
      </c>
      <c r="AC227" s="310" t="e">
        <f t="shared" ca="1" si="112"/>
        <v>#N/A</v>
      </c>
      <c r="AD227" s="323" t="e">
        <f t="shared" ca="1" si="113"/>
        <v>#N/A</v>
      </c>
      <c r="AE227" s="324">
        <f t="shared" ca="1" si="92"/>
        <v>625.42598008596508</v>
      </c>
      <c r="AG227" s="306">
        <f t="shared" ca="1" si="114"/>
        <v>-19.535239142515788</v>
      </c>
      <c r="AH227" s="304">
        <f t="shared" ca="1" si="115"/>
        <v>-9.9845295758788666</v>
      </c>
    </row>
    <row r="228" spans="1:34" x14ac:dyDescent="0.2">
      <c r="A228" s="347">
        <f t="shared" ca="1" si="93"/>
        <v>0.1</v>
      </c>
      <c r="B228" s="304">
        <f t="shared" ca="1" si="94"/>
        <v>4.4000000000000012</v>
      </c>
      <c r="D228" s="306">
        <f t="shared" ca="1" si="95"/>
        <v>-2.2309610054030991</v>
      </c>
      <c r="E228" s="307">
        <f t="shared" ca="1" si="96"/>
        <v>-19.253147188197602</v>
      </c>
      <c r="F228" s="304">
        <f t="shared" ca="1" si="97"/>
        <v>19.381972646199621</v>
      </c>
      <c r="G228" s="306">
        <f t="shared" ca="1" si="98"/>
        <v>32.586959539692309</v>
      </c>
      <c r="H228" s="307">
        <f t="shared" ca="1" si="99"/>
        <v>136.95213939772503</v>
      </c>
      <c r="I228" s="304">
        <f t="shared" ca="1" si="100"/>
        <v>140.77570251167441</v>
      </c>
      <c r="J228" s="306">
        <f t="shared" ca="1" si="101"/>
        <v>134.82540728738337</v>
      </c>
      <c r="K228" s="307">
        <f t="shared" ca="1" si="102"/>
        <v>639.21745976167858</v>
      </c>
      <c r="L228" s="304">
        <f t="shared" ca="1" si="87"/>
        <v>653.28160184898979</v>
      </c>
      <c r="M228" s="306">
        <f t="shared" ca="1" si="103"/>
        <v>1.3371961392464866</v>
      </c>
      <c r="N228" s="304">
        <f t="shared" ca="1" si="104"/>
        <v>76.615695160011626</v>
      </c>
      <c r="P228" s="310">
        <f t="shared" ca="1" si="105"/>
        <v>23</v>
      </c>
      <c r="Q228" s="304">
        <f t="shared" ca="1" si="106"/>
        <v>0</v>
      </c>
      <c r="R228" s="306">
        <f t="shared" ca="1" si="107"/>
        <v>0</v>
      </c>
      <c r="S228" s="307">
        <f t="shared" ca="1" si="108"/>
        <v>7.9769999999999968</v>
      </c>
      <c r="T228" s="304">
        <f t="shared" ca="1" si="88"/>
        <v>78.254369999999966</v>
      </c>
      <c r="U228" s="311">
        <f t="shared" ca="1" si="89"/>
        <v>0</v>
      </c>
      <c r="V228" s="306">
        <f t="shared" ca="1" si="90"/>
        <v>1.149121019633164</v>
      </c>
      <c r="W228" s="304">
        <f t="shared" ca="1" si="91"/>
        <v>75.22372024832967</v>
      </c>
      <c r="Y228" s="314" t="str">
        <f t="shared" ca="1" si="109"/>
        <v/>
      </c>
      <c r="Z228" s="315" t="str">
        <f t="shared" ca="1" si="110"/>
        <v/>
      </c>
      <c r="AA228" s="316" t="str">
        <f t="shared" ca="1" si="111"/>
        <v/>
      </c>
      <c r="AC228" s="310" t="e">
        <f t="shared" ca="1" si="112"/>
        <v>#N/A</v>
      </c>
      <c r="AD228" s="323" t="e">
        <f t="shared" ca="1" si="113"/>
        <v>#N/A</v>
      </c>
      <c r="AE228" s="324">
        <f t="shared" ca="1" si="92"/>
        <v>639.21745976167858</v>
      </c>
      <c r="AG228" s="306">
        <f t="shared" ca="1" si="114"/>
        <v>-19.250283317520267</v>
      </c>
      <c r="AH228" s="304">
        <f t="shared" ca="1" si="115"/>
        <v>-9.7031034120838626</v>
      </c>
    </row>
    <row r="229" spans="1:34" x14ac:dyDescent="0.2">
      <c r="A229" s="347">
        <f t="shared" ca="1" si="93"/>
        <v>0.1</v>
      </c>
      <c r="B229" s="304">
        <f t="shared" ca="1" si="94"/>
        <v>4.5000000000000009</v>
      </c>
      <c r="D229" s="306">
        <f t="shared" ca="1" si="95"/>
        <v>-2.1828875005486439</v>
      </c>
      <c r="E229" s="307">
        <f t="shared" ca="1" si="96"/>
        <v>-18.983949257234457</v>
      </c>
      <c r="F229" s="304">
        <f t="shared" ca="1" si="97"/>
        <v>19.109037841851279</v>
      </c>
      <c r="G229" s="306">
        <f t="shared" ca="1" si="98"/>
        <v>32.368670789637441</v>
      </c>
      <c r="H229" s="307">
        <f t="shared" ca="1" si="99"/>
        <v>135.0537444720016</v>
      </c>
      <c r="I229" s="304">
        <f t="shared" ca="1" si="100"/>
        <v>138.87852513832593</v>
      </c>
      <c r="J229" s="306">
        <f t="shared" ca="1" si="101"/>
        <v>138.07318880384986</v>
      </c>
      <c r="K229" s="307">
        <f t="shared" ca="1" si="102"/>
        <v>652.8177539551649</v>
      </c>
      <c r="L229" s="304">
        <f t="shared" ca="1" si="87"/>
        <v>667.25948876395137</v>
      </c>
      <c r="M229" s="306">
        <f t="shared" ca="1" si="103"/>
        <v>1.3355610169399386</v>
      </c>
      <c r="N229" s="304">
        <f t="shared" ca="1" si="104"/>
        <v>76.522009552858719</v>
      </c>
      <c r="P229" s="310">
        <f t="shared" ca="1" si="105"/>
        <v>23</v>
      </c>
      <c r="Q229" s="304">
        <f t="shared" ca="1" si="106"/>
        <v>0</v>
      </c>
      <c r="R229" s="306">
        <f t="shared" ca="1" si="107"/>
        <v>0</v>
      </c>
      <c r="S229" s="307">
        <f t="shared" ca="1" si="108"/>
        <v>7.9769999999999968</v>
      </c>
      <c r="T229" s="304">
        <f t="shared" ca="1" si="88"/>
        <v>78.254369999999966</v>
      </c>
      <c r="U229" s="311">
        <f t="shared" ca="1" si="89"/>
        <v>0</v>
      </c>
      <c r="V229" s="306">
        <f t="shared" ca="1" si="90"/>
        <v>1.1475576133850378</v>
      </c>
      <c r="W229" s="304">
        <f t="shared" ca="1" si="91"/>
        <v>73.110259048726547</v>
      </c>
      <c r="Y229" s="314" t="str">
        <f t="shared" ca="1" si="109"/>
        <v/>
      </c>
      <c r="Z229" s="315" t="str">
        <f t="shared" ca="1" si="110"/>
        <v/>
      </c>
      <c r="AA229" s="316" t="str">
        <f t="shared" ca="1" si="111"/>
        <v/>
      </c>
      <c r="AC229" s="310" t="e">
        <f t="shared" ca="1" si="112"/>
        <v>#N/A</v>
      </c>
      <c r="AD229" s="323" t="e">
        <f t="shared" ca="1" si="113"/>
        <v>#N/A</v>
      </c>
      <c r="AE229" s="324">
        <f t="shared" ca="1" si="92"/>
        <v>652.8177539551649</v>
      </c>
      <c r="AG229" s="306">
        <f t="shared" ca="1" si="114"/>
        <v>-18.973630278525405</v>
      </c>
      <c r="AH229" s="304">
        <f t="shared" ca="1" si="115"/>
        <v>-9.430076500981535</v>
      </c>
    </row>
    <row r="230" spans="1:34" x14ac:dyDescent="0.2">
      <c r="A230" s="347">
        <f t="shared" ca="1" si="93"/>
        <v>0.1</v>
      </c>
      <c r="B230" s="304">
        <f t="shared" ca="1" si="94"/>
        <v>4.6000000000000005</v>
      </c>
      <c r="D230" s="306">
        <f t="shared" ca="1" si="95"/>
        <v>-2.1361340391369921</v>
      </c>
      <c r="E230" s="307">
        <f t="shared" ca="1" si="96"/>
        <v>-18.722720035816565</v>
      </c>
      <c r="F230" s="304">
        <f t="shared" ca="1" si="97"/>
        <v>18.844185155445878</v>
      </c>
      <c r="G230" s="306">
        <f t="shared" ca="1" si="98"/>
        <v>32.155057385723744</v>
      </c>
      <c r="H230" s="307">
        <f t="shared" ca="1" si="99"/>
        <v>133.18147246841994</v>
      </c>
      <c r="I230" s="304">
        <f t="shared" ca="1" si="100"/>
        <v>137.00821991521414</v>
      </c>
      <c r="J230" s="306">
        <f t="shared" ca="1" si="101"/>
        <v>141.29937521261792</v>
      </c>
      <c r="K230" s="307">
        <f t="shared" ca="1" si="102"/>
        <v>666.22951480218603</v>
      </c>
      <c r="L230" s="304">
        <f t="shared" ca="1" si="87"/>
        <v>681.04866186567926</v>
      </c>
      <c r="M230" s="306">
        <f t="shared" ca="1" si="103"/>
        <v>1.3338921859534585</v>
      </c>
      <c r="N230" s="304">
        <f t="shared" ca="1" si="104"/>
        <v>76.426392580612756</v>
      </c>
      <c r="P230" s="310">
        <f t="shared" ca="1" si="105"/>
        <v>23</v>
      </c>
      <c r="Q230" s="304">
        <f t="shared" ca="1" si="106"/>
        <v>0</v>
      </c>
      <c r="R230" s="306">
        <f t="shared" ca="1" si="107"/>
        <v>0</v>
      </c>
      <c r="S230" s="307">
        <f t="shared" ca="1" si="108"/>
        <v>7.9769999999999968</v>
      </c>
      <c r="T230" s="304">
        <f t="shared" ca="1" si="88"/>
        <v>78.254369999999966</v>
      </c>
      <c r="U230" s="311">
        <f t="shared" ca="1" si="89"/>
        <v>0</v>
      </c>
      <c r="V230" s="306">
        <f t="shared" ca="1" si="90"/>
        <v>1.1460178949142006</v>
      </c>
      <c r="W230" s="304">
        <f t="shared" ca="1" si="91"/>
        <v>71.058867120646681</v>
      </c>
      <c r="Y230" s="314" t="str">
        <f t="shared" ca="1" si="109"/>
        <v/>
      </c>
      <c r="Z230" s="315" t="str">
        <f t="shared" ca="1" si="110"/>
        <v/>
      </c>
      <c r="AA230" s="316" t="str">
        <f t="shared" ca="1" si="111"/>
        <v/>
      </c>
      <c r="AC230" s="310" t="e">
        <f t="shared" ca="1" si="112"/>
        <v>#N/A</v>
      </c>
      <c r="AD230" s="323" t="e">
        <f t="shared" ca="1" si="113"/>
        <v>#N/A</v>
      </c>
      <c r="AE230" s="324">
        <f t="shared" ca="1" si="92"/>
        <v>666.22951480218603</v>
      </c>
      <c r="AG230" s="306">
        <f t="shared" ca="1" si="114"/>
        <v>-18.704960067987312</v>
      </c>
      <c r="AH230" s="304">
        <f t="shared" ca="1" si="115"/>
        <v>-9.1651321359817697</v>
      </c>
    </row>
    <row r="231" spans="1:34" x14ac:dyDescent="0.2">
      <c r="A231" s="347">
        <f t="shared" ca="1" si="93"/>
        <v>0.1</v>
      </c>
      <c r="B231" s="304">
        <f t="shared" ca="1" si="94"/>
        <v>4.7</v>
      </c>
      <c r="D231" s="306">
        <f t="shared" ca="1" si="95"/>
        <v>-2.0906500948904778</v>
      </c>
      <c r="E231" s="307">
        <f t="shared" ca="1" si="96"/>
        <v>-18.469162218674072</v>
      </c>
      <c r="F231" s="304">
        <f t="shared" ca="1" si="97"/>
        <v>18.587113032393258</v>
      </c>
      <c r="G231" s="306">
        <f t="shared" ca="1" si="98"/>
        <v>31.945992376234695</v>
      </c>
      <c r="H231" s="307">
        <f t="shared" ca="1" si="99"/>
        <v>131.33455624655252</v>
      </c>
      <c r="I231" s="304">
        <f t="shared" ca="1" si="100"/>
        <v>135.16401922620278</v>
      </c>
      <c r="J231" s="306">
        <f t="shared" ca="1" si="101"/>
        <v>144.50442770071584</v>
      </c>
      <c r="K231" s="307">
        <f t="shared" ca="1" si="102"/>
        <v>679.45531623793465</v>
      </c>
      <c r="L231" s="304">
        <f t="shared" ca="1" si="87"/>
        <v>694.65175187938826</v>
      </c>
      <c r="M231" s="306">
        <f t="shared" ca="1" si="103"/>
        <v>1.3321888089286746</v>
      </c>
      <c r="N231" s="304">
        <f t="shared" ca="1" si="104"/>
        <v>76.3287962661731</v>
      </c>
      <c r="P231" s="310">
        <f t="shared" ca="1" si="105"/>
        <v>23</v>
      </c>
      <c r="Q231" s="304">
        <f t="shared" ca="1" si="106"/>
        <v>0</v>
      </c>
      <c r="R231" s="306">
        <f t="shared" ca="1" si="107"/>
        <v>0</v>
      </c>
      <c r="S231" s="307">
        <f t="shared" ca="1" si="108"/>
        <v>7.9769999999999968</v>
      </c>
      <c r="T231" s="304">
        <f t="shared" ca="1" si="88"/>
        <v>78.254369999999966</v>
      </c>
      <c r="U231" s="311">
        <f t="shared" ca="1" si="89"/>
        <v>0</v>
      </c>
      <c r="V231" s="306">
        <f t="shared" ca="1" si="90"/>
        <v>1.1445014810919218</v>
      </c>
      <c r="W231" s="304">
        <f t="shared" ca="1" si="91"/>
        <v>69.067253528185347</v>
      </c>
      <c r="Y231" s="314" t="str">
        <f t="shared" ca="1" si="109"/>
        <v/>
      </c>
      <c r="Z231" s="315" t="str">
        <f t="shared" ca="1" si="110"/>
        <v/>
      </c>
      <c r="AA231" s="316" t="str">
        <f t="shared" ca="1" si="111"/>
        <v/>
      </c>
      <c r="AC231" s="310" t="e">
        <f t="shared" ca="1" si="112"/>
        <v>#N/A</v>
      </c>
      <c r="AD231" s="323" t="e">
        <f t="shared" ca="1" si="113"/>
        <v>#N/A</v>
      </c>
      <c r="AE231" s="324">
        <f t="shared" ca="1" si="92"/>
        <v>679.45531623793465</v>
      </c>
      <c r="AG231" s="306">
        <f t="shared" ca="1" si="114"/>
        <v>-18.443967777112803</v>
      </c>
      <c r="AH231" s="304">
        <f t="shared" ca="1" si="115"/>
        <v>-8.9079688003819371</v>
      </c>
    </row>
    <row r="232" spans="1:34" x14ac:dyDescent="0.2">
      <c r="A232" s="347">
        <f t="shared" ca="1" si="93"/>
        <v>0.1</v>
      </c>
      <c r="B232" s="304">
        <f t="shared" ca="1" si="94"/>
        <v>4.8</v>
      </c>
      <c r="D232" s="306">
        <f t="shared" ca="1" si="95"/>
        <v>-2.0463875302084547</v>
      </c>
      <c r="E232" s="307">
        <f t="shared" ca="1" si="96"/>
        <v>-18.222992622772409</v>
      </c>
      <c r="F232" s="304">
        <f t="shared" ca="1" si="97"/>
        <v>18.337534241369809</v>
      </c>
      <c r="G232" s="306">
        <f t="shared" ca="1" si="98"/>
        <v>31.74135362321385</v>
      </c>
      <c r="H232" s="307">
        <f t="shared" ca="1" si="99"/>
        <v>129.51225698427527</v>
      </c>
      <c r="I232" s="304">
        <f t="shared" ca="1" si="100"/>
        <v>133.34518453620615</v>
      </c>
      <c r="J232" s="306">
        <f t="shared" ca="1" si="101"/>
        <v>147.68879500068826</v>
      </c>
      <c r="K232" s="307">
        <f t="shared" ca="1" si="102"/>
        <v>692.49765689947606</v>
      </c>
      <c r="L232" s="304">
        <f t="shared" ca="1" si="87"/>
        <v>708.07131348475048</v>
      </c>
      <c r="M232" s="306">
        <f t="shared" ca="1" si="103"/>
        <v>1.3304500187609765</v>
      </c>
      <c r="N232" s="304">
        <f t="shared" ca="1" si="104"/>
        <v>76.229170928105148</v>
      </c>
      <c r="P232" s="310">
        <f t="shared" ca="1" si="105"/>
        <v>23</v>
      </c>
      <c r="Q232" s="304">
        <f t="shared" ca="1" si="106"/>
        <v>0</v>
      </c>
      <c r="R232" s="306">
        <f t="shared" ca="1" si="107"/>
        <v>0</v>
      </c>
      <c r="S232" s="307">
        <f t="shared" ca="1" si="108"/>
        <v>7.9769999999999968</v>
      </c>
      <c r="T232" s="304">
        <f t="shared" ca="1" si="88"/>
        <v>78.254369999999966</v>
      </c>
      <c r="U232" s="311">
        <f t="shared" ca="1" si="89"/>
        <v>0</v>
      </c>
      <c r="V232" s="306">
        <f t="shared" ca="1" si="90"/>
        <v>1.1430080004098484</v>
      </c>
      <c r="W232" s="304">
        <f t="shared" ca="1" si="91"/>
        <v>67.133235149017253</v>
      </c>
      <c r="Y232" s="314" t="str">
        <f t="shared" ca="1" si="109"/>
        <v/>
      </c>
      <c r="Z232" s="315" t="str">
        <f t="shared" ca="1" si="110"/>
        <v/>
      </c>
      <c r="AA232" s="316" t="str">
        <f t="shared" ca="1" si="111"/>
        <v/>
      </c>
      <c r="AC232" s="310" t="e">
        <f t="shared" ca="1" si="112"/>
        <v>#N/A</v>
      </c>
      <c r="AD232" s="323" t="e">
        <f t="shared" ca="1" si="113"/>
        <v>#N/A</v>
      </c>
      <c r="AE232" s="324">
        <f t="shared" ca="1" si="92"/>
        <v>692.49765689947606</v>
      </c>
      <c r="AG232" s="306">
        <f t="shared" ca="1" si="114"/>
        <v>-18.190362672777326</v>
      </c>
      <c r="AH232" s="304">
        <f t="shared" ca="1" si="115"/>
        <v>-8.6582993015150276</v>
      </c>
    </row>
    <row r="233" spans="1:34" x14ac:dyDescent="0.2">
      <c r="A233" s="347">
        <f t="shared" ca="1" si="93"/>
        <v>0.1</v>
      </c>
      <c r="B233" s="304">
        <f t="shared" ca="1" si="94"/>
        <v>4.8999999999999995</v>
      </c>
      <c r="D233" s="306">
        <f t="shared" ca="1" si="95"/>
        <v>-2.0033004612907437</v>
      </c>
      <c r="E233" s="307">
        <f t="shared" ca="1" si="96"/>
        <v>-17.9839413901257</v>
      </c>
      <c r="F233" s="304">
        <f t="shared" ca="1" si="97"/>
        <v>18.095175065792649</v>
      </c>
      <c r="G233" s="306">
        <f t="shared" ca="1" si="98"/>
        <v>31.541023577084776</v>
      </c>
      <c r="H233" s="307">
        <f t="shared" ca="1" si="99"/>
        <v>127.7138628452627</v>
      </c>
      <c r="I233" s="304">
        <f t="shared" ca="1" si="100"/>
        <v>131.55100505563911</v>
      </c>
      <c r="J233" s="306">
        <f t="shared" ca="1" si="101"/>
        <v>150.85291386070318</v>
      </c>
      <c r="K233" s="307">
        <f t="shared" ca="1" si="102"/>
        <v>705.35896289095297</v>
      </c>
      <c r="L233" s="304">
        <f t="shared" ca="1" si="87"/>
        <v>721.30982812579612</v>
      </c>
      <c r="M233" s="306">
        <f t="shared" ca="1" si="103"/>
        <v>1.3286749173396322</v>
      </c>
      <c r="N233" s="304">
        <f t="shared" ca="1" si="104"/>
        <v>76.127465108454444</v>
      </c>
      <c r="P233" s="310">
        <f t="shared" ca="1" si="105"/>
        <v>23</v>
      </c>
      <c r="Q233" s="304">
        <f t="shared" ca="1" si="106"/>
        <v>0</v>
      </c>
      <c r="R233" s="306">
        <f t="shared" ca="1" si="107"/>
        <v>0</v>
      </c>
      <c r="S233" s="307">
        <f t="shared" ca="1" si="108"/>
        <v>7.9769999999999968</v>
      </c>
      <c r="T233" s="304">
        <f t="shared" ca="1" si="88"/>
        <v>78.254369999999966</v>
      </c>
      <c r="U233" s="311">
        <f t="shared" ca="1" si="89"/>
        <v>0</v>
      </c>
      <c r="V233" s="306">
        <f t="shared" ca="1" si="90"/>
        <v>1.1415370925382138</v>
      </c>
      <c r="W233" s="304">
        <f t="shared" ca="1" si="91"/>
        <v>65.254730648375897</v>
      </c>
      <c r="Y233" s="314" t="str">
        <f t="shared" ca="1" si="109"/>
        <v/>
      </c>
      <c r="Z233" s="315" t="str">
        <f t="shared" ca="1" si="110"/>
        <v/>
      </c>
      <c r="AA233" s="316" t="str">
        <f t="shared" ca="1" si="111"/>
        <v/>
      </c>
      <c r="AC233" s="310" t="e">
        <f t="shared" ca="1" si="112"/>
        <v>#N/A</v>
      </c>
      <c r="AD233" s="323" t="e">
        <f t="shared" ca="1" si="113"/>
        <v>#N/A</v>
      </c>
      <c r="AE233" s="324">
        <f t="shared" ca="1" si="92"/>
        <v>705.35896289095297</v>
      </c>
      <c r="AG233" s="306">
        <f t="shared" ca="1" si="114"/>
        <v>-17.943867381381164</v>
      </c>
      <c r="AH233" s="304">
        <f t="shared" ca="1" si="115"/>
        <v>-8.4158499622686822</v>
      </c>
    </row>
    <row r="234" spans="1:34" x14ac:dyDescent="0.2">
      <c r="A234" s="347">
        <f t="shared" ca="1" si="93"/>
        <v>0.1</v>
      </c>
      <c r="B234" s="304">
        <f t="shared" ca="1" si="94"/>
        <v>4.9999999999999991</v>
      </c>
      <c r="D234" s="306">
        <f t="shared" ca="1" si="95"/>
        <v>-1.9613451321235962</v>
      </c>
      <c r="E234" s="307">
        <f t="shared" ca="1" si="96"/>
        <v>-17.751751242919191</v>
      </c>
      <c r="F234" s="304">
        <f t="shared" ca="1" si="97"/>
        <v>17.859774548347133</v>
      </c>
      <c r="G234" s="306">
        <f t="shared" ca="1" si="98"/>
        <v>31.344889063872415</v>
      </c>
      <c r="H234" s="307">
        <f t="shared" ca="1" si="99"/>
        <v>125.93868772097078</v>
      </c>
      <c r="I234" s="304">
        <f t="shared" ca="1" si="100"/>
        <v>129.78079648124628</v>
      </c>
      <c r="J234" s="306">
        <f t="shared" ca="1" si="101"/>
        <v>153.99720949275104</v>
      </c>
      <c r="K234" s="307">
        <f t="shared" ca="1" si="102"/>
        <v>718.04159041926459</v>
      </c>
      <c r="L234" s="304">
        <f t="shared" ca="1" si="87"/>
        <v>734.36970668960817</v>
      </c>
      <c r="M234" s="306">
        <f t="shared" ca="1" si="103"/>
        <v>1.326862574223461</v>
      </c>
      <c r="N234" s="304">
        <f t="shared" ca="1" si="104"/>
        <v>76.023625496868249</v>
      </c>
      <c r="P234" s="310">
        <f t="shared" ca="1" si="105"/>
        <v>23</v>
      </c>
      <c r="Q234" s="304">
        <f t="shared" ca="1" si="106"/>
        <v>0</v>
      </c>
      <c r="R234" s="306">
        <f t="shared" ca="1" si="107"/>
        <v>0</v>
      </c>
      <c r="S234" s="307">
        <f t="shared" ca="1" si="108"/>
        <v>7.9769999999999968</v>
      </c>
      <c r="T234" s="304">
        <f t="shared" ca="1" si="88"/>
        <v>78.254369999999966</v>
      </c>
      <c r="U234" s="311">
        <f t="shared" ca="1" si="89"/>
        <v>0</v>
      </c>
      <c r="V234" s="306">
        <f t="shared" ca="1" si="90"/>
        <v>1.1400884079052767</v>
      </c>
      <c r="W234" s="304">
        <f t="shared" ca="1" si="91"/>
        <v>63.429754844740806</v>
      </c>
      <c r="Y234" s="314" t="str">
        <f t="shared" ca="1" si="109"/>
        <v/>
      </c>
      <c r="Z234" s="315" t="str">
        <f t="shared" ca="1" si="110"/>
        <v/>
      </c>
      <c r="AA234" s="316" t="str">
        <f t="shared" ca="1" si="111"/>
        <v/>
      </c>
      <c r="AC234" s="310">
        <f t="shared" ca="1" si="112"/>
        <v>4.9999999999999991</v>
      </c>
      <c r="AD234" s="323">
        <f t="shared" ca="1" si="113"/>
        <v>153.99720949275104</v>
      </c>
      <c r="AE234" s="324">
        <f t="shared" ca="1" si="92"/>
        <v>718.04159041926459</v>
      </c>
      <c r="AG234" s="306">
        <f t="shared" ca="1" si="114"/>
        <v>-17.70421712530031</v>
      </c>
      <c r="AH234" s="304">
        <f t="shared" ca="1" si="115"/>
        <v>-8.1803598656607655</v>
      </c>
    </row>
    <row r="235" spans="1:34" x14ac:dyDescent="0.2">
      <c r="A235" s="347">
        <f t="shared" ca="1" si="93"/>
        <v>0.1</v>
      </c>
      <c r="B235" s="304">
        <f t="shared" ca="1" si="94"/>
        <v>5.0999999999999988</v>
      </c>
      <c r="D235" s="306">
        <f t="shared" ca="1" si="95"/>
        <v>-1.9204797966689404</v>
      </c>
      <c r="E235" s="307">
        <f t="shared" ca="1" si="96"/>
        <v>-17.526176787044047</v>
      </c>
      <c r="F235" s="304">
        <f t="shared" ca="1" si="97"/>
        <v>17.631083784615601</v>
      </c>
      <c r="G235" s="306">
        <f t="shared" ca="1" si="98"/>
        <v>31.152841084205519</v>
      </c>
      <c r="H235" s="307">
        <f t="shared" ca="1" si="99"/>
        <v>124.18607004226637</v>
      </c>
      <c r="I235" s="304">
        <f t="shared" ca="1" si="100"/>
        <v>128.03389980845094</v>
      </c>
      <c r="J235" s="306">
        <f t="shared" ca="1" si="101"/>
        <v>157.12209600015493</v>
      </c>
      <c r="K235" s="307">
        <f t="shared" ca="1" si="102"/>
        <v>730.54782830742647</v>
      </c>
      <c r="L235" s="304">
        <f t="shared" ca="1" si="87"/>
        <v>747.25329206111826</v>
      </c>
      <c r="M235" s="306">
        <f t="shared" ca="1" si="103"/>
        <v>1.3250120252483095</v>
      </c>
      <c r="N235" s="304">
        <f t="shared" ca="1" si="104"/>
        <v>75.917596850809815</v>
      </c>
      <c r="P235" s="310">
        <f t="shared" ca="1" si="105"/>
        <v>23</v>
      </c>
      <c r="Q235" s="304">
        <f t="shared" ca="1" si="106"/>
        <v>0</v>
      </c>
      <c r="R235" s="306">
        <f t="shared" ca="1" si="107"/>
        <v>0</v>
      </c>
      <c r="S235" s="307">
        <f t="shared" ca="1" si="108"/>
        <v>7.9769999999999968</v>
      </c>
      <c r="T235" s="304">
        <f t="shared" ca="1" si="88"/>
        <v>78.254369999999966</v>
      </c>
      <c r="U235" s="311">
        <f t="shared" ca="1" si="89"/>
        <v>0</v>
      </c>
      <c r="V235" s="306">
        <f t="shared" ca="1" si="90"/>
        <v>1.1386616072967848</v>
      </c>
      <c r="W235" s="304">
        <f t="shared" ca="1" si="91"/>
        <v>61.656413438333097</v>
      </c>
      <c r="Y235" s="314" t="str">
        <f t="shared" ca="1" si="109"/>
        <v/>
      </c>
      <c r="Z235" s="315" t="str">
        <f t="shared" ca="1" si="110"/>
        <v/>
      </c>
      <c r="AA235" s="316" t="str">
        <f t="shared" ca="1" si="111"/>
        <v/>
      </c>
      <c r="AC235" s="310" t="e">
        <f t="shared" ca="1" si="112"/>
        <v>#N/A</v>
      </c>
      <c r="AD235" s="323" t="e">
        <f t="shared" ca="1" si="113"/>
        <v>#N/A</v>
      </c>
      <c r="AE235" s="324">
        <f t="shared" ca="1" si="92"/>
        <v>730.54782830742647</v>
      </c>
      <c r="AG235" s="306">
        <f t="shared" ca="1" si="114"/>
        <v>-17.47115900794855</v>
      </c>
      <c r="AH235" s="304">
        <f t="shared" ca="1" si="115"/>
        <v>-7.9515801485195983</v>
      </c>
    </row>
    <row r="236" spans="1:34" x14ac:dyDescent="0.2">
      <c r="A236" s="347">
        <f t="shared" ca="1" si="93"/>
        <v>0.1</v>
      </c>
      <c r="B236" s="304">
        <f t="shared" ca="1" si="94"/>
        <v>5.1999999999999984</v>
      </c>
      <c r="D236" s="306">
        <f t="shared" ca="1" si="95"/>
        <v>-1.8806646086526346</v>
      </c>
      <c r="E236" s="307">
        <f t="shared" ca="1" si="96"/>
        <v>-17.306983860472315</v>
      </c>
      <c r="F236" s="304">
        <f t="shared" ca="1" si="97"/>
        <v>17.408865262184314</v>
      </c>
      <c r="G236" s="306">
        <f t="shared" ca="1" si="98"/>
        <v>30.964774623340254</v>
      </c>
      <c r="H236" s="307">
        <f t="shared" ca="1" si="99"/>
        <v>122.45537165621913</v>
      </c>
      <c r="I236" s="304">
        <f t="shared" ca="1" si="100"/>
        <v>126.30968021073053</v>
      </c>
      <c r="J236" s="306">
        <f t="shared" ca="1" si="101"/>
        <v>160.22797678553221</v>
      </c>
      <c r="K236" s="307">
        <f t="shared" ca="1" si="102"/>
        <v>742.87990039235069</v>
      </c>
      <c r="L236" s="304">
        <f t="shared" ca="1" si="87"/>
        <v>759.96286156083568</v>
      </c>
      <c r="M236" s="306">
        <f t="shared" ca="1" si="103"/>
        <v>1.323122271062338</v>
      </c>
      <c r="N236" s="304">
        <f t="shared" ca="1" si="104"/>
        <v>75.809321911636459</v>
      </c>
      <c r="P236" s="310">
        <f t="shared" ca="1" si="105"/>
        <v>23</v>
      </c>
      <c r="Q236" s="304">
        <f t="shared" ca="1" si="106"/>
        <v>0</v>
      </c>
      <c r="R236" s="306">
        <f t="shared" ca="1" si="107"/>
        <v>0</v>
      </c>
      <c r="S236" s="307">
        <f t="shared" ca="1" si="108"/>
        <v>7.9769999999999968</v>
      </c>
      <c r="T236" s="304">
        <f t="shared" ca="1" si="88"/>
        <v>78.254369999999966</v>
      </c>
      <c r="U236" s="311">
        <f t="shared" ca="1" si="89"/>
        <v>0</v>
      </c>
      <c r="V236" s="306">
        <f t="shared" ca="1" si="90"/>
        <v>1.1372563614743374</v>
      </c>
      <c r="W236" s="304">
        <f t="shared" ca="1" si="91"/>
        <v>59.932898075903296</v>
      </c>
      <c r="Y236" s="314" t="str">
        <f t="shared" ca="1" si="109"/>
        <v/>
      </c>
      <c r="Z236" s="315" t="str">
        <f t="shared" ca="1" si="110"/>
        <v/>
      </c>
      <c r="AA236" s="316" t="str">
        <f t="shared" ca="1" si="111"/>
        <v/>
      </c>
      <c r="AC236" s="310" t="e">
        <f t="shared" ca="1" si="112"/>
        <v>#N/A</v>
      </c>
      <c r="AD236" s="323" t="e">
        <f t="shared" ca="1" si="113"/>
        <v>#N/A</v>
      </c>
      <c r="AE236" s="324">
        <f t="shared" ca="1" si="92"/>
        <v>742.87990039235069</v>
      </c>
      <c r="AG236" s="306">
        <f t="shared" ca="1" si="114"/>
        <v>-17.244451343794044</v>
      </c>
      <c r="AH236" s="304">
        <f t="shared" ca="1" si="115"/>
        <v>-7.7292733406459977</v>
      </c>
    </row>
    <row r="237" spans="1:34" x14ac:dyDescent="0.2">
      <c r="A237" s="347">
        <f t="shared" ca="1" si="93"/>
        <v>0.1</v>
      </c>
      <c r="B237" s="304">
        <f t="shared" ca="1" si="94"/>
        <v>5.299999999999998</v>
      </c>
      <c r="D237" s="306">
        <f t="shared" ca="1" si="95"/>
        <v>-1.8418615183973293</v>
      </c>
      <c r="E237" s="307">
        <f t="shared" ca="1" si="96"/>
        <v>-17.093948923194283</v>
      </c>
      <c r="F237" s="304">
        <f t="shared" ca="1" si="97"/>
        <v>17.192892241904151</v>
      </c>
      <c r="G237" s="306">
        <f t="shared" ca="1" si="98"/>
        <v>30.780588471500522</v>
      </c>
      <c r="H237" s="307">
        <f t="shared" ca="1" si="99"/>
        <v>120.74597676389971</v>
      </c>
      <c r="I237" s="304">
        <f t="shared" ca="1" si="100"/>
        <v>124.60752598186066</v>
      </c>
      <c r="J237" s="306">
        <f t="shared" ca="1" si="101"/>
        <v>163.31524494027425</v>
      </c>
      <c r="K237" s="307">
        <f t="shared" ca="1" si="102"/>
        <v>755.03996781335661</v>
      </c>
      <c r="L237" s="304">
        <f t="shared" ca="1" si="87"/>
        <v>772.5006292719097</v>
      </c>
      <c r="M237" s="306">
        <f t="shared" ca="1" si="103"/>
        <v>1.3211922755848553</v>
      </c>
      <c r="N237" s="304">
        <f t="shared" ca="1" si="104"/>
        <v>75.698741316297372</v>
      </c>
      <c r="P237" s="310">
        <f t="shared" ca="1" si="105"/>
        <v>23</v>
      </c>
      <c r="Q237" s="304">
        <f t="shared" ca="1" si="106"/>
        <v>0</v>
      </c>
      <c r="R237" s="306">
        <f t="shared" ca="1" si="107"/>
        <v>0</v>
      </c>
      <c r="S237" s="307">
        <f t="shared" ca="1" si="108"/>
        <v>7.9769999999999968</v>
      </c>
      <c r="T237" s="304">
        <f t="shared" ca="1" si="88"/>
        <v>78.254369999999966</v>
      </c>
      <c r="U237" s="311">
        <f t="shared" ca="1" si="89"/>
        <v>0</v>
      </c>
      <c r="V237" s="306">
        <f t="shared" ca="1" si="90"/>
        <v>1.1358723508115887</v>
      </c>
      <c r="W237" s="304">
        <f t="shared" ca="1" si="91"/>
        <v>58.257481727459933</v>
      </c>
      <c r="Y237" s="314" t="str">
        <f t="shared" ca="1" si="109"/>
        <v/>
      </c>
      <c r="Z237" s="315" t="str">
        <f t="shared" ca="1" si="110"/>
        <v/>
      </c>
      <c r="AA237" s="316" t="str">
        <f t="shared" ca="1" si="111"/>
        <v/>
      </c>
      <c r="AC237" s="310" t="e">
        <f t="shared" ca="1" si="112"/>
        <v>#N/A</v>
      </c>
      <c r="AD237" s="323" t="e">
        <f t="shared" ca="1" si="113"/>
        <v>#N/A</v>
      </c>
      <c r="AE237" s="324">
        <f t="shared" ca="1" si="92"/>
        <v>755.03996781335661</v>
      </c>
      <c r="AG237" s="306">
        <f t="shared" ca="1" si="114"/>
        <v>-17.023863029969764</v>
      </c>
      <c r="AH237" s="304">
        <f t="shared" ca="1" si="115"/>
        <v>-7.5132127461330471</v>
      </c>
    </row>
    <row r="238" spans="1:34" x14ac:dyDescent="0.2">
      <c r="A238" s="347">
        <f t="shared" ca="1" si="93"/>
        <v>0.1</v>
      </c>
      <c r="B238" s="304">
        <f t="shared" ca="1" si="94"/>
        <v>5.3999999999999977</v>
      </c>
      <c r="D238" s="306">
        <f t="shared" ca="1" si="95"/>
        <v>-1.804034176190912</v>
      </c>
      <c r="E238" s="307">
        <f t="shared" ca="1" si="96"/>
        <v>-16.886858485708146</v>
      </c>
      <c r="F238" s="304">
        <f t="shared" ca="1" si="97"/>
        <v>16.982948178252151</v>
      </c>
      <c r="G238" s="306">
        <f t="shared" ca="1" si="98"/>
        <v>30.600185053881432</v>
      </c>
      <c r="H238" s="307">
        <f t="shared" ca="1" si="99"/>
        <v>119.05729091532889</v>
      </c>
      <c r="I238" s="304">
        <f t="shared" ca="1" si="100"/>
        <v>122.9268475371798</v>
      </c>
      <c r="J238" s="306">
        <f t="shared" ca="1" si="101"/>
        <v>166.38428361654334</v>
      </c>
      <c r="K238" s="307">
        <f t="shared" ca="1" si="102"/>
        <v>767.03013119731804</v>
      </c>
      <c r="L238" s="304">
        <f t="shared" ca="1" si="87"/>
        <v>784.8687482625138</v>
      </c>
      <c r="M238" s="306">
        <f t="shared" ca="1" si="103"/>
        <v>1.319220964384155</v>
      </c>
      <c r="N238" s="304">
        <f t="shared" ca="1" si="104"/>
        <v>75.585793504390381</v>
      </c>
      <c r="P238" s="310">
        <f t="shared" ca="1" si="105"/>
        <v>23</v>
      </c>
      <c r="Q238" s="304">
        <f t="shared" ca="1" si="106"/>
        <v>0</v>
      </c>
      <c r="R238" s="306">
        <f t="shared" ca="1" si="107"/>
        <v>0</v>
      </c>
      <c r="S238" s="307">
        <f t="shared" ca="1" si="108"/>
        <v>7.9769999999999968</v>
      </c>
      <c r="T238" s="304">
        <f t="shared" ca="1" si="88"/>
        <v>78.254369999999966</v>
      </c>
      <c r="U238" s="311">
        <f t="shared" ca="1" si="89"/>
        <v>0</v>
      </c>
      <c r="V238" s="306">
        <f t="shared" ca="1" si="90"/>
        <v>1.1345092649473092</v>
      </c>
      <c r="W238" s="304">
        <f t="shared" ca="1" si="91"/>
        <v>56.628514352560167</v>
      </c>
      <c r="Y238" s="314" t="str">
        <f t="shared" ca="1" si="109"/>
        <v/>
      </c>
      <c r="Z238" s="315" t="str">
        <f t="shared" ca="1" si="110"/>
        <v/>
      </c>
      <c r="AA238" s="316" t="str">
        <f t="shared" ca="1" si="111"/>
        <v/>
      </c>
      <c r="AC238" s="310" t="e">
        <f t="shared" ca="1" si="112"/>
        <v>#N/A</v>
      </c>
      <c r="AD238" s="323" t="e">
        <f t="shared" ca="1" si="113"/>
        <v>#N/A</v>
      </c>
      <c r="AE238" s="324">
        <f t="shared" ca="1" si="92"/>
        <v>767.03013119731804</v>
      </c>
      <c r="AG238" s="306">
        <f t="shared" ca="1" si="114"/>
        <v>-16.809172956385801</v>
      </c>
      <c r="AH238" s="304">
        <f t="shared" ca="1" si="115"/>
        <v>-7.3031818637908934</v>
      </c>
    </row>
    <row r="239" spans="1:34" x14ac:dyDescent="0.2">
      <c r="A239" s="347">
        <f t="shared" ca="1" si="93"/>
        <v>0.1</v>
      </c>
      <c r="B239" s="304">
        <f t="shared" ca="1" si="94"/>
        <v>5.4999999999999973</v>
      </c>
      <c r="D239" s="306">
        <f t="shared" ca="1" si="95"/>
        <v>-1.7671478417228519</v>
      </c>
      <c r="E239" s="307">
        <f t="shared" ca="1" si="96"/>
        <v>-16.685508573295582</v>
      </c>
      <c r="F239" s="304">
        <f t="shared" ca="1" si="97"/>
        <v>16.778826175988179</v>
      </c>
      <c r="G239" s="306">
        <f t="shared" ca="1" si="98"/>
        <v>30.423470269709146</v>
      </c>
      <c r="H239" s="307">
        <f t="shared" ca="1" si="99"/>
        <v>117.38874005799933</v>
      </c>
      <c r="I239" s="304">
        <f t="shared" ca="1" si="100"/>
        <v>121.26707647031165</v>
      </c>
      <c r="J239" s="306">
        <f t="shared" ca="1" si="101"/>
        <v>169.43546638272286</v>
      </c>
      <c r="K239" s="307">
        <f t="shared" ca="1" si="102"/>
        <v>778.8524327459844</v>
      </c>
      <c r="L239" s="304">
        <f t="shared" ca="1" si="87"/>
        <v>797.06931270917016</v>
      </c>
      <c r="M239" s="306">
        <f t="shared" ca="1" si="103"/>
        <v>1.3172072229695155</v>
      </c>
      <c r="N239" s="304">
        <f t="shared" ca="1" si="104"/>
        <v>75.470414620300829</v>
      </c>
      <c r="P239" s="310">
        <f t="shared" ca="1" si="105"/>
        <v>23</v>
      </c>
      <c r="Q239" s="304">
        <f t="shared" ca="1" si="106"/>
        <v>0</v>
      </c>
      <c r="R239" s="306">
        <f t="shared" ca="1" si="107"/>
        <v>0</v>
      </c>
      <c r="S239" s="307">
        <f t="shared" ca="1" si="108"/>
        <v>7.9769999999999968</v>
      </c>
      <c r="T239" s="304">
        <f t="shared" ca="1" si="88"/>
        <v>78.254369999999966</v>
      </c>
      <c r="U239" s="311">
        <f t="shared" ca="1" si="89"/>
        <v>0</v>
      </c>
      <c r="V239" s="306">
        <f t="shared" ca="1" si="90"/>
        <v>1.1331668024543793</v>
      </c>
      <c r="W239" s="304">
        <f t="shared" ca="1" si="91"/>
        <v>55.044418835578</v>
      </c>
      <c r="Y239" s="314" t="str">
        <f t="shared" ca="1" si="109"/>
        <v/>
      </c>
      <c r="Z239" s="315" t="str">
        <f t="shared" ca="1" si="110"/>
        <v/>
      </c>
      <c r="AA239" s="316" t="str">
        <f t="shared" ca="1" si="111"/>
        <v/>
      </c>
      <c r="AC239" s="310" t="e">
        <f t="shared" ca="1" si="112"/>
        <v>#N/A</v>
      </c>
      <c r="AD239" s="323" t="e">
        <f t="shared" ca="1" si="113"/>
        <v>#N/A</v>
      </c>
      <c r="AE239" s="324">
        <f t="shared" ca="1" si="92"/>
        <v>778.8524327459844</v>
      </c>
      <c r="AG239" s="306">
        <f t="shared" ca="1" si="114"/>
        <v>-16.600169451495631</v>
      </c>
      <c r="AH239" s="304">
        <f t="shared" ca="1" si="115"/>
        <v>-7.0989738438711534</v>
      </c>
    </row>
    <row r="240" spans="1:34" x14ac:dyDescent="0.2">
      <c r="A240" s="347">
        <f t="shared" ca="1" si="93"/>
        <v>0.1</v>
      </c>
      <c r="B240" s="304">
        <f t="shared" ca="1" si="94"/>
        <v>5.599999999999997</v>
      </c>
      <c r="D240" s="306">
        <f t="shared" ca="1" si="95"/>
        <v>-1.7311692991582754</v>
      </c>
      <c r="E240" s="307">
        <f t="shared" ca="1" si="96"/>
        <v>-16.489704223538684</v>
      </c>
      <c r="F240" s="304">
        <f t="shared" ca="1" si="97"/>
        <v>16.580328480525882</v>
      </c>
      <c r="G240" s="306">
        <f t="shared" ca="1" si="98"/>
        <v>30.250353339793318</v>
      </c>
      <c r="H240" s="307">
        <f t="shared" ca="1" si="99"/>
        <v>115.73976963564546</v>
      </c>
      <c r="I240" s="304">
        <f t="shared" ca="1" si="100"/>
        <v>119.62766466204472</v>
      </c>
      <c r="J240" s="306">
        <f t="shared" ca="1" si="101"/>
        <v>172.469157563198</v>
      </c>
      <c r="K240" s="307">
        <f t="shared" ca="1" si="102"/>
        <v>790.50885823066665</v>
      </c>
      <c r="L240" s="304">
        <f t="shared" ca="1" si="87"/>
        <v>809.10435992627754</v>
      </c>
      <c r="M240" s="306">
        <f t="shared" ca="1" si="103"/>
        <v>1.3151498949921829</v>
      </c>
      <c r="N240" s="304">
        <f t="shared" ca="1" si="104"/>
        <v>75.35253841012549</v>
      </c>
      <c r="P240" s="310">
        <f t="shared" ca="1" si="105"/>
        <v>23</v>
      </c>
      <c r="Q240" s="304">
        <f t="shared" ca="1" si="106"/>
        <v>0</v>
      </c>
      <c r="R240" s="306">
        <f t="shared" ca="1" si="107"/>
        <v>0</v>
      </c>
      <c r="S240" s="307">
        <f t="shared" ca="1" si="108"/>
        <v>7.9769999999999968</v>
      </c>
      <c r="T240" s="304">
        <f t="shared" ca="1" si="88"/>
        <v>78.254369999999966</v>
      </c>
      <c r="U240" s="311">
        <f t="shared" ca="1" si="89"/>
        <v>0</v>
      </c>
      <c r="V240" s="306">
        <f t="shared" ca="1" si="90"/>
        <v>1.1318446705238578</v>
      </c>
      <c r="W240" s="304">
        <f t="shared" ca="1" si="91"/>
        <v>53.503687171002149</v>
      </c>
      <c r="Y240" s="314" t="str">
        <f t="shared" ca="1" si="109"/>
        <v/>
      </c>
      <c r="Z240" s="315" t="str">
        <f t="shared" ca="1" si="110"/>
        <v/>
      </c>
      <c r="AA240" s="316" t="str">
        <f t="shared" ca="1" si="111"/>
        <v/>
      </c>
      <c r="AC240" s="310" t="e">
        <f t="shared" ca="1" si="112"/>
        <v>#N/A</v>
      </c>
      <c r="AD240" s="323" t="e">
        <f t="shared" ca="1" si="113"/>
        <v>#N/A</v>
      </c>
      <c r="AE240" s="324">
        <f t="shared" ca="1" si="92"/>
        <v>790.50885823066665</v>
      </c>
      <c r="AG240" s="306">
        <f t="shared" ca="1" si="114"/>
        <v>-16.396649761090274</v>
      </c>
      <c r="AH240" s="304">
        <f t="shared" ca="1" si="115"/>
        <v>-6.9003909785104707</v>
      </c>
    </row>
    <row r="241" spans="1:34" x14ac:dyDescent="0.2">
      <c r="A241" s="347">
        <f t="shared" ca="1" si="93"/>
        <v>0.1</v>
      </c>
      <c r="B241" s="304">
        <f t="shared" ca="1" si="94"/>
        <v>5.6999999999999966</v>
      </c>
      <c r="D241" s="306">
        <f t="shared" ca="1" si="95"/>
        <v>-1.6960667774540144</v>
      </c>
      <c r="E241" s="307">
        <f t="shared" ca="1" si="96"/>
        <v>-16.299259014735874</v>
      </c>
      <c r="F241" s="304">
        <f t="shared" ca="1" si="97"/>
        <v>16.387265999642281</v>
      </c>
      <c r="G241" s="306">
        <f t="shared" ca="1" si="98"/>
        <v>30.080746662047915</v>
      </c>
      <c r="H241" s="307">
        <f t="shared" ca="1" si="99"/>
        <v>114.10984373417187</v>
      </c>
      <c r="I241" s="304">
        <f t="shared" ca="1" si="100"/>
        <v>118.00808343831126</v>
      </c>
      <c r="J241" s="306">
        <f t="shared" ca="1" si="101"/>
        <v>175.48571256329006</v>
      </c>
      <c r="K241" s="307">
        <f t="shared" ca="1" si="102"/>
        <v>802.00133889915753</v>
      </c>
      <c r="L241" s="304">
        <f t="shared" ca="1" si="87"/>
        <v>820.97587230678528</v>
      </c>
      <c r="M241" s="306">
        <f t="shared" ca="1" si="103"/>
        <v>1.3130477803498257</v>
      </c>
      <c r="N241" s="304">
        <f t="shared" ca="1" si="104"/>
        <v>75.232096113065765</v>
      </c>
      <c r="P241" s="310">
        <f t="shared" ca="1" si="105"/>
        <v>23</v>
      </c>
      <c r="Q241" s="304">
        <f t="shared" ca="1" si="106"/>
        <v>0</v>
      </c>
      <c r="R241" s="306">
        <f t="shared" ca="1" si="107"/>
        <v>0</v>
      </c>
      <c r="S241" s="307">
        <f t="shared" ca="1" si="108"/>
        <v>7.9769999999999968</v>
      </c>
      <c r="T241" s="304">
        <f t="shared" ca="1" si="88"/>
        <v>78.254369999999966</v>
      </c>
      <c r="U241" s="311">
        <f t="shared" ca="1" si="89"/>
        <v>0</v>
      </c>
      <c r="V241" s="306">
        <f t="shared" ca="1" si="90"/>
        <v>1.1305425846633026</v>
      </c>
      <c r="W241" s="304">
        <f t="shared" ca="1" si="91"/>
        <v>52.004876881307062</v>
      </c>
      <c r="Y241" s="314" t="str">
        <f t="shared" ca="1" si="109"/>
        <v/>
      </c>
      <c r="Z241" s="315" t="str">
        <f t="shared" ca="1" si="110"/>
        <v/>
      </c>
      <c r="AA241" s="316" t="str">
        <f t="shared" ca="1" si="111"/>
        <v/>
      </c>
      <c r="AC241" s="310" t="e">
        <f t="shared" ca="1" si="112"/>
        <v>#N/A</v>
      </c>
      <c r="AD241" s="323" t="e">
        <f t="shared" ca="1" si="113"/>
        <v>#N/A</v>
      </c>
      <c r="AE241" s="324">
        <f t="shared" ca="1" si="92"/>
        <v>802.00133889915753</v>
      </c>
      <c r="AG241" s="306">
        <f t="shared" ca="1" si="114"/>
        <v>-16.198419557695601</v>
      </c>
      <c r="AH241" s="304">
        <f t="shared" ca="1" si="115"/>
        <v>-6.7072442235178853</v>
      </c>
    </row>
    <row r="242" spans="1:34" x14ac:dyDescent="0.2">
      <c r="A242" s="347">
        <f t="shared" ca="1" si="93"/>
        <v>0.1</v>
      </c>
      <c r="B242" s="304">
        <f t="shared" ca="1" si="94"/>
        <v>5.7999999999999963</v>
      </c>
      <c r="D242" s="306">
        <f t="shared" ca="1" si="95"/>
        <v>-1.6618098755520037</v>
      </c>
      <c r="E242" s="307">
        <f t="shared" ca="1" si="96"/>
        <v>-16.113994623058758</v>
      </c>
      <c r="F242" s="304">
        <f t="shared" ca="1" si="97"/>
        <v>16.199457854337247</v>
      </c>
      <c r="G242" s="306">
        <f t="shared" ca="1" si="98"/>
        <v>29.914565674492714</v>
      </c>
      <c r="H242" s="307">
        <f t="shared" ca="1" si="99"/>
        <v>112.49844427186599</v>
      </c>
      <c r="I242" s="304">
        <f t="shared" ca="1" si="100"/>
        <v>116.40782277443246</v>
      </c>
      <c r="J242" s="306">
        <f t="shared" ca="1" si="101"/>
        <v>178.4854781801171</v>
      </c>
      <c r="K242" s="307">
        <f t="shared" ca="1" si="102"/>
        <v>813.33175329945948</v>
      </c>
      <c r="L242" s="304">
        <f t="shared" ca="1" si="87"/>
        <v>832.6857791786515</v>
      </c>
      <c r="M242" s="306">
        <f t="shared" ca="1" si="103"/>
        <v>1.3108996331885605</v>
      </c>
      <c r="N242" s="304">
        <f t="shared" ca="1" si="104"/>
        <v>75.109016346952259</v>
      </c>
      <c r="P242" s="310">
        <f t="shared" ca="1" si="105"/>
        <v>23</v>
      </c>
      <c r="Q242" s="304">
        <f t="shared" ca="1" si="106"/>
        <v>0</v>
      </c>
      <c r="R242" s="306">
        <f t="shared" ca="1" si="107"/>
        <v>0</v>
      </c>
      <c r="S242" s="307">
        <f t="shared" ca="1" si="108"/>
        <v>7.9769999999999968</v>
      </c>
      <c r="T242" s="304">
        <f t="shared" ca="1" si="88"/>
        <v>78.254369999999966</v>
      </c>
      <c r="U242" s="311">
        <f t="shared" ca="1" si="89"/>
        <v>0</v>
      </c>
      <c r="V242" s="306">
        <f t="shared" ca="1" si="90"/>
        <v>1.1292602684085991</v>
      </c>
      <c r="W242" s="304">
        <f t="shared" ca="1" si="91"/>
        <v>50.546607651305642</v>
      </c>
      <c r="Y242" s="314" t="str">
        <f t="shared" ca="1" si="109"/>
        <v/>
      </c>
      <c r="Z242" s="315" t="str">
        <f t="shared" ca="1" si="110"/>
        <v/>
      </c>
      <c r="AA242" s="316" t="str">
        <f t="shared" ca="1" si="111"/>
        <v/>
      </c>
      <c r="AC242" s="310" t="e">
        <f t="shared" ca="1" si="112"/>
        <v>#N/A</v>
      </c>
      <c r="AD242" s="323" t="e">
        <f t="shared" ca="1" si="113"/>
        <v>#N/A</v>
      </c>
      <c r="AE242" s="324">
        <f t="shared" ca="1" si="92"/>
        <v>813.33175329945948</v>
      </c>
      <c r="AG242" s="306">
        <f t="shared" ca="1" si="114"/>
        <v>-16.005292478331253</v>
      </c>
      <c r="AH242" s="304">
        <f t="shared" ca="1" si="115"/>
        <v>-6.5193527493176742</v>
      </c>
    </row>
    <row r="243" spans="1:34" x14ac:dyDescent="0.2">
      <c r="A243" s="347">
        <f t="shared" ca="1" si="93"/>
        <v>0.1</v>
      </c>
      <c r="B243" s="304">
        <f t="shared" ca="1" si="94"/>
        <v>5.8999999999999959</v>
      </c>
      <c r="D243" s="306">
        <f t="shared" ca="1" si="95"/>
        <v>-1.6283694921141505</v>
      </c>
      <c r="E243" s="307">
        <f t="shared" ca="1" si="96"/>
        <v>-15.933740406460608</v>
      </c>
      <c r="F243" s="304">
        <f t="shared" ca="1" si="97"/>
        <v>16.016730956825228</v>
      </c>
      <c r="G243" s="306">
        <f t="shared" ca="1" si="98"/>
        <v>29.7517287252813</v>
      </c>
      <c r="H243" s="307">
        <f t="shared" ca="1" si="99"/>
        <v>110.90507023121994</v>
      </c>
      <c r="I243" s="304">
        <f t="shared" ca="1" si="100"/>
        <v>114.82639054300434</v>
      </c>
      <c r="J243" s="306">
        <f t="shared" ca="1" si="101"/>
        <v>181.4687929001058</v>
      </c>
      <c r="K243" s="307">
        <f t="shared" ca="1" si="102"/>
        <v>824.50192902461379</v>
      </c>
      <c r="L243" s="304">
        <f t="shared" ca="1" si="87"/>
        <v>844.23595858144461</v>
      </c>
      <c r="M243" s="306">
        <f t="shared" ca="1" si="103"/>
        <v>1.3087041597962572</v>
      </c>
      <c r="N243" s="304">
        <f t="shared" ca="1" si="104"/>
        <v>74.983224987540012</v>
      </c>
      <c r="P243" s="310">
        <f t="shared" ca="1" si="105"/>
        <v>23</v>
      </c>
      <c r="Q243" s="304">
        <f t="shared" ca="1" si="106"/>
        <v>0</v>
      </c>
      <c r="R243" s="306">
        <f t="shared" ca="1" si="107"/>
        <v>0</v>
      </c>
      <c r="S243" s="307">
        <f t="shared" ca="1" si="108"/>
        <v>7.9769999999999968</v>
      </c>
      <c r="T243" s="304">
        <f t="shared" ca="1" si="88"/>
        <v>78.254369999999966</v>
      </c>
      <c r="U243" s="311">
        <f t="shared" ca="1" si="89"/>
        <v>0</v>
      </c>
      <c r="V243" s="306">
        <f t="shared" ca="1" si="90"/>
        <v>1.1279974530485726</v>
      </c>
      <c r="W243" s="304">
        <f t="shared" ca="1" si="91"/>
        <v>49.127558164135749</v>
      </c>
      <c r="Y243" s="314" t="str">
        <f t="shared" ca="1" si="109"/>
        <v/>
      </c>
      <c r="Z243" s="315" t="str">
        <f t="shared" ca="1" si="110"/>
        <v/>
      </c>
      <c r="AA243" s="316" t="str">
        <f t="shared" ca="1" si="111"/>
        <v/>
      </c>
      <c r="AC243" s="310" t="e">
        <f t="shared" ca="1" si="112"/>
        <v>#N/A</v>
      </c>
      <c r="AD243" s="323" t="e">
        <f t="shared" ca="1" si="113"/>
        <v>#N/A</v>
      </c>
      <c r="AE243" s="324">
        <f t="shared" ca="1" si="92"/>
        <v>824.50192902461379</v>
      </c>
      <c r="AG243" s="306">
        <f t="shared" ca="1" si="114"/>
        <v>-15.817089688556404</v>
      </c>
      <c r="AH243" s="304">
        <f t="shared" ca="1" si="115"/>
        <v>-6.3365435190304202</v>
      </c>
    </row>
    <row r="244" spans="1:34" x14ac:dyDescent="0.2">
      <c r="A244" s="347">
        <f t="shared" ca="1" si="93"/>
        <v>0.1</v>
      </c>
      <c r="B244" s="304">
        <f t="shared" ca="1" si="94"/>
        <v>5.9999999999999956</v>
      </c>
      <c r="D244" s="306">
        <f t="shared" ca="1" si="95"/>
        <v>-1.5957177594887861</v>
      </c>
      <c r="E244" s="307">
        <f t="shared" ca="1" si="96"/>
        <v>-15.758333013500732</v>
      </c>
      <c r="F244" s="304">
        <f t="shared" ca="1" si="97"/>
        <v>15.838919613797367</v>
      </c>
      <c r="G244" s="306">
        <f t="shared" ca="1" si="98"/>
        <v>29.59215694933242</v>
      </c>
      <c r="H244" s="307">
        <f t="shared" ca="1" si="99"/>
        <v>109.32923692986986</v>
      </c>
      <c r="I244" s="304">
        <f t="shared" ca="1" si="100"/>
        <v>113.26331180299093</v>
      </c>
      <c r="J244" s="306">
        <f t="shared" ca="1" si="101"/>
        <v>184.43598718383649</v>
      </c>
      <c r="K244" s="307">
        <f t="shared" ca="1" si="102"/>
        <v>835.5136443826683</v>
      </c>
      <c r="L244" s="304">
        <f t="shared" ca="1" si="87"/>
        <v>855.62823896718385</v>
      </c>
      <c r="M244" s="306">
        <f t="shared" ca="1" si="103"/>
        <v>1.3064600163803957</v>
      </c>
      <c r="N244" s="304">
        <f t="shared" ca="1" si="104"/>
        <v>74.854645041189073</v>
      </c>
      <c r="P244" s="310">
        <f t="shared" ca="1" si="105"/>
        <v>23</v>
      </c>
      <c r="Q244" s="304">
        <f t="shared" ca="1" si="106"/>
        <v>0</v>
      </c>
      <c r="R244" s="306">
        <f t="shared" ca="1" si="107"/>
        <v>0</v>
      </c>
      <c r="S244" s="307">
        <f t="shared" ca="1" si="108"/>
        <v>7.9769999999999968</v>
      </c>
      <c r="T244" s="304">
        <f t="shared" ca="1" si="88"/>
        <v>78.254369999999966</v>
      </c>
      <c r="U244" s="311">
        <f t="shared" ca="1" si="89"/>
        <v>0</v>
      </c>
      <c r="V244" s="306">
        <f t="shared" ca="1" si="90"/>
        <v>1.1267538773617221</v>
      </c>
      <c r="W244" s="304">
        <f t="shared" ca="1" si="91"/>
        <v>47.746463125172454</v>
      </c>
      <c r="Y244" s="314" t="str">
        <f t="shared" ca="1" si="109"/>
        <v/>
      </c>
      <c r="Z244" s="315" t="str">
        <f t="shared" ca="1" si="110"/>
        <v/>
      </c>
      <c r="AA244" s="316" t="str">
        <f t="shared" ca="1" si="111"/>
        <v/>
      </c>
      <c r="AC244" s="310">
        <f t="shared" ca="1" si="112"/>
        <v>5.9999999999999956</v>
      </c>
      <c r="AD244" s="323">
        <f t="shared" ca="1" si="113"/>
        <v>184.43598718383649</v>
      </c>
      <c r="AE244" s="324">
        <f t="shared" ca="1" si="92"/>
        <v>835.5136443826683</v>
      </c>
      <c r="AG244" s="306">
        <f t="shared" ca="1" si="114"/>
        <v>-15.633639470878951</v>
      </c>
      <c r="AH244" s="304">
        <f t="shared" ca="1" si="115"/>
        <v>-6.1586508918309848</v>
      </c>
    </row>
    <row r="245" spans="1:34" x14ac:dyDescent="0.2">
      <c r="A245" s="347">
        <f t="shared" ca="1" si="93"/>
        <v>0.1</v>
      </c>
      <c r="B245" s="304">
        <f t="shared" ca="1" si="94"/>
        <v>6.0999999999999952</v>
      </c>
      <c r="D245" s="306">
        <f t="shared" ca="1" si="95"/>
        <v>-1.5638279816227747</v>
      </c>
      <c r="E245" s="307">
        <f t="shared" ca="1" si="96"/>
        <v>-15.587616015389969</v>
      </c>
      <c r="F245" s="304">
        <f t="shared" ca="1" si="97"/>
        <v>15.665865153235178</v>
      </c>
      <c r="G245" s="306">
        <f t="shared" ca="1" si="98"/>
        <v>29.435774151170143</v>
      </c>
      <c r="H245" s="307">
        <f t="shared" ca="1" si="99"/>
        <v>107.77047532833086</v>
      </c>
      <c r="I245" s="304">
        <f t="shared" ca="1" si="100"/>
        <v>111.71812812777104</v>
      </c>
      <c r="J245" s="306">
        <f t="shared" ca="1" si="101"/>
        <v>187.38738373886162</v>
      </c>
      <c r="K245" s="307">
        <f t="shared" ca="1" si="102"/>
        <v>846.36862999557832</v>
      </c>
      <c r="L245" s="304">
        <f t="shared" ca="1" si="87"/>
        <v>866.86440082926902</v>
      </c>
      <c r="M245" s="306">
        <f t="shared" ca="1" si="103"/>
        <v>1.3041658067232811</v>
      </c>
      <c r="N245" s="304">
        <f t="shared" ca="1" si="104"/>
        <v>74.72319651051825</v>
      </c>
      <c r="P245" s="310">
        <f t="shared" ca="1" si="105"/>
        <v>23</v>
      </c>
      <c r="Q245" s="304">
        <f t="shared" ca="1" si="106"/>
        <v>0</v>
      </c>
      <c r="R245" s="306">
        <f t="shared" ca="1" si="107"/>
        <v>0</v>
      </c>
      <c r="S245" s="307">
        <f t="shared" ca="1" si="108"/>
        <v>7.9769999999999968</v>
      </c>
      <c r="T245" s="304">
        <f t="shared" ca="1" si="88"/>
        <v>78.254369999999966</v>
      </c>
      <c r="U245" s="311">
        <f t="shared" ca="1" si="89"/>
        <v>0</v>
      </c>
      <c r="V245" s="306">
        <f t="shared" ca="1" si="90"/>
        <v>1.1255292873644438</v>
      </c>
      <c r="W245" s="304">
        <f t="shared" ca="1" si="91"/>
        <v>46.402110461200792</v>
      </c>
      <c r="Y245" s="314" t="str">
        <f t="shared" ca="1" si="109"/>
        <v/>
      </c>
      <c r="Z245" s="315" t="str">
        <f t="shared" ca="1" si="110"/>
        <v/>
      </c>
      <c r="AA245" s="316" t="str">
        <f t="shared" ca="1" si="111"/>
        <v/>
      </c>
      <c r="AC245" s="310" t="e">
        <f t="shared" ca="1" si="112"/>
        <v>#N/A</v>
      </c>
      <c r="AD245" s="323" t="e">
        <f t="shared" ca="1" si="113"/>
        <v>#N/A</v>
      </c>
      <c r="AE245" s="324">
        <f t="shared" ca="1" si="92"/>
        <v>846.36862999557832</v>
      </c>
      <c r="AG245" s="306">
        <f t="shared" ca="1" si="114"/>
        <v>-15.454776835742489</v>
      </c>
      <c r="AH245" s="304">
        <f t="shared" ca="1" si="115"/>
        <v>-5.9855162498649213</v>
      </c>
    </row>
    <row r="246" spans="1:34" x14ac:dyDescent="0.2">
      <c r="A246" s="347">
        <f t="shared" ca="1" si="93"/>
        <v>0.1</v>
      </c>
      <c r="B246" s="304">
        <f t="shared" ca="1" si="94"/>
        <v>6.1999999999999948</v>
      </c>
      <c r="D246" s="306">
        <f t="shared" ca="1" si="95"/>
        <v>-1.532674575655252</v>
      </c>
      <c r="E246" s="307">
        <f t="shared" ca="1" si="96"/>
        <v>-15.421439559691287</v>
      </c>
      <c r="F246" s="304">
        <f t="shared" ca="1" si="97"/>
        <v>15.497415573187402</v>
      </c>
      <c r="G246" s="306">
        <f t="shared" ca="1" si="98"/>
        <v>29.282506693604617</v>
      </c>
      <c r="H246" s="307">
        <f t="shared" ca="1" si="99"/>
        <v>106.22833137236174</v>
      </c>
      <c r="I246" s="304">
        <f t="shared" ca="1" si="100"/>
        <v>110.1903969700504</v>
      </c>
      <c r="J246" s="306">
        <f t="shared" ca="1" si="101"/>
        <v>190.32329778110037</v>
      </c>
      <c r="K246" s="307">
        <f t="shared" ca="1" si="102"/>
        <v>857.06857033061294</v>
      </c>
      <c r="L246" s="304">
        <f t="shared" ca="1" si="87"/>
        <v>877.94617826312924</v>
      </c>
      <c r="M246" s="306">
        <f t="shared" ca="1" si="103"/>
        <v>1.3018200797069357</v>
      </c>
      <c r="N246" s="304">
        <f t="shared" ca="1" si="104"/>
        <v>74.588796252591848</v>
      </c>
      <c r="P246" s="310">
        <f t="shared" ca="1" si="105"/>
        <v>23</v>
      </c>
      <c r="Q246" s="304">
        <f t="shared" ca="1" si="106"/>
        <v>0</v>
      </c>
      <c r="R246" s="306">
        <f t="shared" ca="1" si="107"/>
        <v>0</v>
      </c>
      <c r="S246" s="307">
        <f t="shared" ca="1" si="108"/>
        <v>7.9769999999999968</v>
      </c>
      <c r="T246" s="304">
        <f t="shared" ca="1" si="88"/>
        <v>78.254369999999966</v>
      </c>
      <c r="U246" s="311">
        <f t="shared" ca="1" si="89"/>
        <v>0</v>
      </c>
      <c r="V246" s="306">
        <f t="shared" ca="1" si="90"/>
        <v>1.1243234360701575</v>
      </c>
      <c r="W246" s="304">
        <f t="shared" ca="1" si="91"/>
        <v>45.093338683138583</v>
      </c>
      <c r="Y246" s="314" t="str">
        <f t="shared" ca="1" si="109"/>
        <v/>
      </c>
      <c r="Z246" s="315" t="str">
        <f t="shared" ca="1" si="110"/>
        <v/>
      </c>
      <c r="AA246" s="316" t="str">
        <f t="shared" ca="1" si="111"/>
        <v/>
      </c>
      <c r="AC246" s="310" t="e">
        <f t="shared" ca="1" si="112"/>
        <v>#N/A</v>
      </c>
      <c r="AD246" s="323" t="e">
        <f t="shared" ca="1" si="113"/>
        <v>#N/A</v>
      </c>
      <c r="AE246" s="324">
        <f t="shared" ca="1" si="92"/>
        <v>857.06857033061294</v>
      </c>
      <c r="AG246" s="306">
        <f t="shared" ca="1" si="114"/>
        <v>-15.280343153430735</v>
      </c>
      <c r="AH246" s="304">
        <f t="shared" ca="1" si="115"/>
        <v>-5.8169876471356163</v>
      </c>
    </row>
    <row r="247" spans="1:34" x14ac:dyDescent="0.2">
      <c r="A247" s="347">
        <f t="shared" ca="1" si="93"/>
        <v>0.1</v>
      </c>
      <c r="B247" s="304">
        <f t="shared" ca="1" si="94"/>
        <v>6.2999999999999945</v>
      </c>
      <c r="D247" s="306">
        <f t="shared" ca="1" si="95"/>
        <v>-1.502233016948991</v>
      </c>
      <c r="E247" s="307">
        <f t="shared" ca="1" si="96"/>
        <v>-15.259660044227456</v>
      </c>
      <c r="F247" s="304">
        <f t="shared" ca="1" si="97"/>
        <v>15.333425211041515</v>
      </c>
      <c r="G247" s="306">
        <f t="shared" ca="1" si="98"/>
        <v>29.132283391909716</v>
      </c>
      <c r="H247" s="307">
        <f t="shared" ca="1" si="99"/>
        <v>104.702365367939</v>
      </c>
      <c r="I247" s="304">
        <f t="shared" ca="1" si="100"/>
        <v>108.67969106170632</v>
      </c>
      <c r="J247" s="306">
        <f t="shared" ca="1" si="101"/>
        <v>193.24403728537609</v>
      </c>
      <c r="K247" s="307">
        <f t="shared" ca="1" si="102"/>
        <v>867.61510516762803</v>
      </c>
      <c r="L247" s="304">
        <f t="shared" ca="1" si="87"/>
        <v>888.87526046199866</v>
      </c>
      <c r="M247" s="306">
        <f t="shared" ca="1" si="103"/>
        <v>1.299421326699439</v>
      </c>
      <c r="N247" s="304">
        <f t="shared" ca="1" si="104"/>
        <v>74.451357829167975</v>
      </c>
      <c r="P247" s="310">
        <f t="shared" ca="1" si="105"/>
        <v>23</v>
      </c>
      <c r="Q247" s="304">
        <f t="shared" ca="1" si="106"/>
        <v>0</v>
      </c>
      <c r="R247" s="306">
        <f t="shared" ca="1" si="107"/>
        <v>0</v>
      </c>
      <c r="S247" s="307">
        <f t="shared" ca="1" si="108"/>
        <v>7.9769999999999968</v>
      </c>
      <c r="T247" s="304">
        <f t="shared" ca="1" si="88"/>
        <v>78.254369999999966</v>
      </c>
      <c r="U247" s="311">
        <f t="shared" ca="1" si="89"/>
        <v>0</v>
      </c>
      <c r="V247" s="306">
        <f t="shared" ca="1" si="90"/>
        <v>1.1231360832587767</v>
      </c>
      <c r="W247" s="304">
        <f t="shared" ca="1" si="91"/>
        <v>43.819034401474241</v>
      </c>
      <c r="Y247" s="314" t="str">
        <f t="shared" ca="1" si="109"/>
        <v/>
      </c>
      <c r="Z247" s="315" t="str">
        <f t="shared" ca="1" si="110"/>
        <v/>
      </c>
      <c r="AA247" s="316" t="str">
        <f t="shared" ca="1" si="111"/>
        <v/>
      </c>
      <c r="AC247" s="310" t="e">
        <f t="shared" ca="1" si="112"/>
        <v>#N/A</v>
      </c>
      <c r="AD247" s="323" t="e">
        <f t="shared" ca="1" si="113"/>
        <v>#N/A</v>
      </c>
      <c r="AE247" s="324">
        <f t="shared" ca="1" si="92"/>
        <v>867.61510516762803</v>
      </c>
      <c r="AG247" s="306">
        <f t="shared" ca="1" si="114"/>
        <v>-15.110185805342809</v>
      </c>
      <c r="AH247" s="304">
        <f t="shared" ca="1" si="115"/>
        <v>-5.6529194788941455</v>
      </c>
    </row>
    <row r="248" spans="1:34" x14ac:dyDescent="0.2">
      <c r="A248" s="347">
        <f t="shared" ca="1" si="93"/>
        <v>0.1</v>
      </c>
      <c r="B248" s="304">
        <f t="shared" ca="1" si="94"/>
        <v>6.3999999999999941</v>
      </c>
      <c r="D248" s="306">
        <f t="shared" ca="1" si="95"/>
        <v>-1.4724797873338242</v>
      </c>
      <c r="E248" s="307">
        <f t="shared" ca="1" si="96"/>
        <v>-15.102139809855965</v>
      </c>
      <c r="F248" s="304">
        <f t="shared" ca="1" si="97"/>
        <v>15.173754431930913</v>
      </c>
      <c r="G248" s="306">
        <f t="shared" ca="1" si="98"/>
        <v>28.985035413176334</v>
      </c>
      <c r="H248" s="307">
        <f t="shared" ca="1" si="99"/>
        <v>103.1921513869534</v>
      </c>
      <c r="I248" s="304">
        <f t="shared" ca="1" si="100"/>
        <v>107.18559784677694</v>
      </c>
      <c r="J248" s="306">
        <f t="shared" ca="1" si="101"/>
        <v>196.1499032256304</v>
      </c>
      <c r="K248" s="307">
        <f t="shared" ca="1" si="102"/>
        <v>878.00983100537269</v>
      </c>
      <c r="L248" s="304">
        <f t="shared" ca="1" si="87"/>
        <v>899.65329315103781</v>
      </c>
      <c r="M248" s="306">
        <f t="shared" ca="1" si="103"/>
        <v>1.2969679787939228</v>
      </c>
      <c r="N248" s="304">
        <f t="shared" ca="1" si="104"/>
        <v>74.310791348504623</v>
      </c>
      <c r="P248" s="310">
        <f t="shared" ca="1" si="105"/>
        <v>23</v>
      </c>
      <c r="Q248" s="304">
        <f t="shared" ca="1" si="106"/>
        <v>0</v>
      </c>
      <c r="R248" s="306">
        <f t="shared" ca="1" si="107"/>
        <v>0</v>
      </c>
      <c r="S248" s="307">
        <f t="shared" ca="1" si="108"/>
        <v>7.9769999999999968</v>
      </c>
      <c r="T248" s="304">
        <f t="shared" ca="1" si="88"/>
        <v>78.254369999999966</v>
      </c>
      <c r="U248" s="311">
        <f t="shared" ca="1" si="89"/>
        <v>0</v>
      </c>
      <c r="V248" s="306">
        <f t="shared" ca="1" si="90"/>
        <v>1.1219669952560045</v>
      </c>
      <c r="W248" s="304">
        <f t="shared" ca="1" si="91"/>
        <v>42.578129984388724</v>
      </c>
      <c r="Y248" s="314" t="str">
        <f t="shared" ca="1" si="109"/>
        <v/>
      </c>
      <c r="Z248" s="315" t="str">
        <f t="shared" ca="1" si="110"/>
        <v/>
      </c>
      <c r="AA248" s="316" t="str">
        <f t="shared" ca="1" si="111"/>
        <v/>
      </c>
      <c r="AC248" s="310" t="e">
        <f t="shared" ca="1" si="112"/>
        <v>#N/A</v>
      </c>
      <c r="AD248" s="323" t="e">
        <f t="shared" ca="1" si="113"/>
        <v>#N/A</v>
      </c>
      <c r="AE248" s="324">
        <f t="shared" ca="1" si="92"/>
        <v>878.00983100537269</v>
      </c>
      <c r="AG248" s="306">
        <f t="shared" ca="1" si="114"/>
        <v>-14.944157853195909</v>
      </c>
      <c r="AH248" s="304">
        <f t="shared" ca="1" si="115"/>
        <v>-5.4931721701735317</v>
      </c>
    </row>
    <row r="249" spans="1:34" x14ac:dyDescent="0.2">
      <c r="A249" s="347">
        <f t="shared" ca="1" si="93"/>
        <v>0.1</v>
      </c>
      <c r="B249" s="304">
        <f t="shared" ca="1" si="94"/>
        <v>6.4999999999999938</v>
      </c>
      <c r="D249" s="306">
        <f t="shared" ca="1" si="95"/>
        <v>-1.4433923263534623</v>
      </c>
      <c r="E249" s="307">
        <f t="shared" ca="1" si="96"/>
        <v>-14.948746850870624</v>
      </c>
      <c r="F249" s="304">
        <f t="shared" ca="1" si="97"/>
        <v>15.018269335019614</v>
      </c>
      <c r="G249" s="306">
        <f t="shared" ca="1" si="98"/>
        <v>28.840696180540988</v>
      </c>
      <c r="H249" s="307">
        <f t="shared" ca="1" si="99"/>
        <v>101.69727670186633</v>
      </c>
      <c r="I249" s="304">
        <f t="shared" ca="1" si="100"/>
        <v>105.70771894594186</v>
      </c>
      <c r="J249" s="306">
        <f t="shared" ca="1" si="101"/>
        <v>199.04118980531626</v>
      </c>
      <c r="K249" s="307">
        <f t="shared" ca="1" si="102"/>
        <v>888.2543024098137</v>
      </c>
      <c r="L249" s="304">
        <f t="shared" ca="1" si="87"/>
        <v>910.28187996282816</v>
      </c>
      <c r="M249" s="306">
        <f t="shared" ca="1" si="103"/>
        <v>1.2944584038908067</v>
      </c>
      <c r="N249" s="304">
        <f t="shared" ca="1" si="104"/>
        <v>74.167003298184127</v>
      </c>
      <c r="P249" s="310">
        <f t="shared" ca="1" si="105"/>
        <v>23</v>
      </c>
      <c r="Q249" s="304">
        <f t="shared" ca="1" si="106"/>
        <v>0</v>
      </c>
      <c r="R249" s="306">
        <f t="shared" ca="1" si="107"/>
        <v>0</v>
      </c>
      <c r="S249" s="307">
        <f t="shared" ca="1" si="108"/>
        <v>7.9769999999999968</v>
      </c>
      <c r="T249" s="304">
        <f t="shared" ca="1" si="88"/>
        <v>78.254369999999966</v>
      </c>
      <c r="U249" s="311">
        <f t="shared" ca="1" si="89"/>
        <v>0</v>
      </c>
      <c r="V249" s="306">
        <f t="shared" ca="1" si="90"/>
        <v>1.1208159447219592</v>
      </c>
      <c r="W249" s="304">
        <f t="shared" ca="1" si="91"/>
        <v>41.369601349267015</v>
      </c>
      <c r="Y249" s="314" t="str">
        <f t="shared" ca="1" si="109"/>
        <v/>
      </c>
      <c r="Z249" s="315" t="str">
        <f t="shared" ca="1" si="110"/>
        <v/>
      </c>
      <c r="AA249" s="316" t="str">
        <f t="shared" ca="1" si="111"/>
        <v/>
      </c>
      <c r="AC249" s="310" t="e">
        <f t="shared" ca="1" si="112"/>
        <v>#N/A</v>
      </c>
      <c r="AD249" s="323" t="e">
        <f t="shared" ca="1" si="113"/>
        <v>#N/A</v>
      </c>
      <c r="AE249" s="324">
        <f t="shared" ca="1" si="92"/>
        <v>888.2543024098137</v>
      </c>
      <c r="AG249" s="306">
        <f t="shared" ca="1" si="114"/>
        <v>-14.782117724805783</v>
      </c>
      <c r="AH249" s="304">
        <f t="shared" ca="1" si="115"/>
        <v>-5.3376118822099459</v>
      </c>
    </row>
    <row r="250" spans="1:34" x14ac:dyDescent="0.2">
      <c r="A250" s="347">
        <f t="shared" ca="1" si="93"/>
        <v>0.1</v>
      </c>
      <c r="B250" s="304">
        <f t="shared" ca="1" si="94"/>
        <v>6.5999999999999934</v>
      </c>
      <c r="D250" s="306">
        <f t="shared" ca="1" si="95"/>
        <v>-1.4149489853225403</v>
      </c>
      <c r="E250" s="307">
        <f t="shared" ca="1" si="96"/>
        <v>-14.799354541880277</v>
      </c>
      <c r="F250" s="304">
        <f t="shared" ca="1" si="97"/>
        <v>14.866841476498553</v>
      </c>
      <c r="G250" s="306">
        <f t="shared" ca="1" si="98"/>
        <v>28.699201282008733</v>
      </c>
      <c r="H250" s="307">
        <f t="shared" ca="1" si="99"/>
        <v>100.21734124767831</v>
      </c>
      <c r="I250" s="304">
        <f t="shared" ca="1" si="100"/>
        <v>104.24566965096851</v>
      </c>
      <c r="J250" s="306">
        <f t="shared" ca="1" si="101"/>
        <v>201.91818467844374</v>
      </c>
      <c r="K250" s="307">
        <f t="shared" ca="1" si="102"/>
        <v>898.35003330729091</v>
      </c>
      <c r="L250" s="304">
        <f t="shared" ca="1" si="87"/>
        <v>920.76258375709904</v>
      </c>
      <c r="M250" s="306">
        <f t="shared" ca="1" si="103"/>
        <v>1.2918909036131967</v>
      </c>
      <c r="N250" s="304">
        <f t="shared" ca="1" si="104"/>
        <v>74.019896368378411</v>
      </c>
      <c r="P250" s="310">
        <f t="shared" ca="1" si="105"/>
        <v>23</v>
      </c>
      <c r="Q250" s="304">
        <f t="shared" ca="1" si="106"/>
        <v>0</v>
      </c>
      <c r="R250" s="306">
        <f t="shared" ca="1" si="107"/>
        <v>0</v>
      </c>
      <c r="S250" s="307">
        <f t="shared" ca="1" si="108"/>
        <v>7.9769999999999968</v>
      </c>
      <c r="T250" s="304">
        <f t="shared" ca="1" si="88"/>
        <v>78.254369999999966</v>
      </c>
      <c r="U250" s="311">
        <f t="shared" ca="1" si="89"/>
        <v>0</v>
      </c>
      <c r="V250" s="306">
        <f t="shared" ca="1" si="90"/>
        <v>1.1196827104486704</v>
      </c>
      <c r="W250" s="304">
        <f t="shared" ca="1" si="91"/>
        <v>40.192465878983676</v>
      </c>
      <c r="Y250" s="314" t="str">
        <f t="shared" ca="1" si="109"/>
        <v/>
      </c>
      <c r="Z250" s="315" t="str">
        <f t="shared" ca="1" si="110"/>
        <v/>
      </c>
      <c r="AA250" s="316" t="str">
        <f t="shared" ca="1" si="111"/>
        <v/>
      </c>
      <c r="AC250" s="310" t="e">
        <f t="shared" ca="1" si="112"/>
        <v>#N/A</v>
      </c>
      <c r="AD250" s="323" t="e">
        <f t="shared" ca="1" si="113"/>
        <v>#N/A</v>
      </c>
      <c r="AE250" s="324">
        <f t="shared" ca="1" si="92"/>
        <v>898.35003330729091</v>
      </c>
      <c r="AG250" s="306">
        <f t="shared" ca="1" si="114"/>
        <v>-14.623928915179935</v>
      </c>
      <c r="AH250" s="304">
        <f t="shared" ca="1" si="115"/>
        <v>-5.1861102355856881</v>
      </c>
    </row>
    <row r="251" spans="1:34" x14ac:dyDescent="0.2">
      <c r="A251" s="347">
        <f t="shared" ca="1" si="93"/>
        <v>0.1</v>
      </c>
      <c r="B251" s="304">
        <f t="shared" ca="1" si="94"/>
        <v>6.6999999999999931</v>
      </c>
      <c r="D251" s="306">
        <f t="shared" ca="1" si="95"/>
        <v>-1.3871289840150505</v>
      </c>
      <c r="E251" s="307">
        <f t="shared" ca="1" si="96"/>
        <v>-14.65384138009891</v>
      </c>
      <c r="F251" s="304">
        <f t="shared" ca="1" si="97"/>
        <v>14.719347608212592</v>
      </c>
      <c r="G251" s="306">
        <f t="shared" ca="1" si="98"/>
        <v>28.560488383607229</v>
      </c>
      <c r="H251" s="307">
        <f t="shared" ca="1" si="99"/>
        <v>98.75195710966841</v>
      </c>
      <c r="I251" s="304">
        <f t="shared" ca="1" si="100"/>
        <v>102.79907844771739</v>
      </c>
      <c r="J251" s="306">
        <f t="shared" ca="1" si="101"/>
        <v>204.78116916172453</v>
      </c>
      <c r="K251" s="307">
        <f t="shared" ca="1" si="102"/>
        <v>908.29849822515826</v>
      </c>
      <c r="L251" s="304">
        <f t="shared" ca="1" si="87"/>
        <v>931.09692788738198</v>
      </c>
      <c r="M251" s="306">
        <f t="shared" ca="1" si="103"/>
        <v>1.2892637100446531</v>
      </c>
      <c r="N251" s="304">
        <f t="shared" ca="1" si="104"/>
        <v>73.86936926493695</v>
      </c>
      <c r="P251" s="310">
        <f t="shared" ca="1" si="105"/>
        <v>23</v>
      </c>
      <c r="Q251" s="304">
        <f t="shared" ca="1" si="106"/>
        <v>0</v>
      </c>
      <c r="R251" s="306">
        <f t="shared" ca="1" si="107"/>
        <v>0</v>
      </c>
      <c r="S251" s="307">
        <f t="shared" ca="1" si="108"/>
        <v>7.9769999999999968</v>
      </c>
      <c r="T251" s="304">
        <f t="shared" ca="1" si="88"/>
        <v>78.254369999999966</v>
      </c>
      <c r="U251" s="311">
        <f t="shared" ca="1" si="89"/>
        <v>0</v>
      </c>
      <c r="V251" s="306">
        <f t="shared" ca="1" si="90"/>
        <v>1.1185670771660097</v>
      </c>
      <c r="W251" s="304">
        <f t="shared" ca="1" si="91"/>
        <v>39.045780454968998</v>
      </c>
      <c r="Y251" s="314" t="str">
        <f t="shared" ca="1" si="109"/>
        <v/>
      </c>
      <c r="Z251" s="315" t="str">
        <f t="shared" ca="1" si="110"/>
        <v/>
      </c>
      <c r="AA251" s="316" t="str">
        <f t="shared" ca="1" si="111"/>
        <v/>
      </c>
      <c r="AC251" s="310" t="e">
        <f t="shared" ca="1" si="112"/>
        <v>#N/A</v>
      </c>
      <c r="AD251" s="323" t="e">
        <f t="shared" ca="1" si="113"/>
        <v>#N/A</v>
      </c>
      <c r="AE251" s="324">
        <f t="shared" ca="1" si="92"/>
        <v>908.29849822515826</v>
      </c>
      <c r="AG251" s="306">
        <f t="shared" ca="1" si="114"/>
        <v>-14.469459701735097</v>
      </c>
      <c r="AH251" s="304">
        <f t="shared" ca="1" si="115"/>
        <v>-5.0385440490138764</v>
      </c>
    </row>
    <row r="252" spans="1:34" x14ac:dyDescent="0.2">
      <c r="A252" s="347">
        <f t="shared" ca="1" si="93"/>
        <v>0.1</v>
      </c>
      <c r="B252" s="304">
        <f t="shared" ca="1" si="94"/>
        <v>6.7999999999999927</v>
      </c>
      <c r="D252" s="306">
        <f t="shared" ca="1" si="95"/>
        <v>-1.359912369818471</v>
      </c>
      <c r="E252" s="307">
        <f t="shared" ca="1" si="96"/>
        <v>-14.512090742058227</v>
      </c>
      <c r="F252" s="304">
        <f t="shared" ca="1" si="97"/>
        <v>14.575669430915253</v>
      </c>
      <c r="G252" s="306">
        <f t="shared" ca="1" si="98"/>
        <v>28.424497146625381</v>
      </c>
      <c r="H252" s="307">
        <f t="shared" ca="1" si="99"/>
        <v>97.30074803546259</v>
      </c>
      <c r="I252" s="304">
        <f t="shared" ca="1" si="100"/>
        <v>101.3675865664123</v>
      </c>
      <c r="J252" s="306">
        <f t="shared" ca="1" si="101"/>
        <v>207.63041843823618</v>
      </c>
      <c r="K252" s="307">
        <f t="shared" ca="1" si="102"/>
        <v>918.10113348241475</v>
      </c>
      <c r="L252" s="304">
        <f t="shared" ca="1" si="87"/>
        <v>941.28639741713664</v>
      </c>
      <c r="M252" s="306">
        <f t="shared" ca="1" si="103"/>
        <v>1.2865749822777754</v>
      </c>
      <c r="N252" s="304">
        <f t="shared" ca="1" si="104"/>
        <v>73.715316511635223</v>
      </c>
      <c r="P252" s="310">
        <f t="shared" ca="1" si="105"/>
        <v>23</v>
      </c>
      <c r="Q252" s="304">
        <f t="shared" ca="1" si="106"/>
        <v>0</v>
      </c>
      <c r="R252" s="306">
        <f t="shared" ca="1" si="107"/>
        <v>0</v>
      </c>
      <c r="S252" s="307">
        <f t="shared" ca="1" si="108"/>
        <v>7.9769999999999968</v>
      </c>
      <c r="T252" s="304">
        <f t="shared" ca="1" si="88"/>
        <v>78.254369999999966</v>
      </c>
      <c r="U252" s="311">
        <f t="shared" ca="1" si="89"/>
        <v>0</v>
      </c>
      <c r="V252" s="306">
        <f t="shared" ca="1" si="90"/>
        <v>1.1174688353556379</v>
      </c>
      <c r="W252" s="304">
        <f t="shared" ca="1" si="91"/>
        <v>37.928639599636149</v>
      </c>
      <c r="Y252" s="314" t="str">
        <f t="shared" ca="1" si="109"/>
        <v/>
      </c>
      <c r="Z252" s="315" t="str">
        <f t="shared" ca="1" si="110"/>
        <v/>
      </c>
      <c r="AA252" s="316" t="str">
        <f t="shared" ca="1" si="111"/>
        <v/>
      </c>
      <c r="AC252" s="310" t="e">
        <f t="shared" ca="1" si="112"/>
        <v>#N/A</v>
      </c>
      <c r="AD252" s="323" t="e">
        <f t="shared" ca="1" si="113"/>
        <v>#N/A</v>
      </c>
      <c r="AE252" s="324">
        <f t="shared" ca="1" si="92"/>
        <v>918.10113348241475</v>
      </c>
      <c r="AG252" s="306">
        <f t="shared" ca="1" si="114"/>
        <v>-14.318582872519498</v>
      </c>
      <c r="AH252" s="304">
        <f t="shared" ca="1" si="115"/>
        <v>-4.8947950927628199</v>
      </c>
    </row>
    <row r="253" spans="1:34" x14ac:dyDescent="0.2">
      <c r="A253" s="347">
        <f t="shared" ca="1" si="93"/>
        <v>0.1</v>
      </c>
      <c r="B253" s="304">
        <f t="shared" ca="1" si="94"/>
        <v>6.8999999999999924</v>
      </c>
      <c r="D253" s="306">
        <f t="shared" ca="1" si="95"/>
        <v>-1.3332799791999754</v>
      </c>
      <c r="E253" s="307">
        <f t="shared" ca="1" si="96"/>
        <v>-14.373990653824649</v>
      </c>
      <c r="F253" s="304">
        <f t="shared" ca="1" si="97"/>
        <v>14.435693361220093</v>
      </c>
      <c r="G253" s="306">
        <f t="shared" ca="1" si="98"/>
        <v>28.291169148705382</v>
      </c>
      <c r="H253" s="307">
        <f t="shared" ca="1" si="99"/>
        <v>95.863348970080125</v>
      </c>
      <c r="I253" s="304">
        <f t="shared" ca="1" si="100"/>
        <v>99.950847557987331</v>
      </c>
      <c r="J253" s="306">
        <f t="shared" ca="1" si="101"/>
        <v>210.46620175300271</v>
      </c>
      <c r="K253" s="307">
        <f t="shared" ca="1" si="102"/>
        <v>927.75933833269187</v>
      </c>
      <c r="L253" s="304">
        <f t="shared" ca="1" si="87"/>
        <v>951.33244028775232</v>
      </c>
      <c r="M253" s="306">
        <f t="shared" ca="1" si="103"/>
        <v>1.2838228027612149</v>
      </c>
      <c r="N253" s="304">
        <f t="shared" ca="1" si="104"/>
        <v>73.557628240873939</v>
      </c>
      <c r="P253" s="310">
        <f t="shared" ca="1" si="105"/>
        <v>23</v>
      </c>
      <c r="Q253" s="304">
        <f t="shared" ca="1" si="106"/>
        <v>0</v>
      </c>
      <c r="R253" s="306">
        <f t="shared" ca="1" si="107"/>
        <v>0</v>
      </c>
      <c r="S253" s="307">
        <f t="shared" ca="1" si="108"/>
        <v>7.9769999999999968</v>
      </c>
      <c r="T253" s="304">
        <f t="shared" ca="1" si="88"/>
        <v>78.254369999999966</v>
      </c>
      <c r="U253" s="311">
        <f t="shared" ca="1" si="89"/>
        <v>0</v>
      </c>
      <c r="V253" s="306">
        <f t="shared" ca="1" si="90"/>
        <v>1.116387781072592</v>
      </c>
      <c r="W253" s="304">
        <f t="shared" ca="1" si="91"/>
        <v>36.840173721277978</v>
      </c>
      <c r="Y253" s="314" t="str">
        <f t="shared" ca="1" si="109"/>
        <v/>
      </c>
      <c r="Z253" s="315" t="str">
        <f t="shared" ca="1" si="110"/>
        <v/>
      </c>
      <c r="AA253" s="316" t="str">
        <f t="shared" ca="1" si="111"/>
        <v/>
      </c>
      <c r="AC253" s="310" t="e">
        <f t="shared" ca="1" si="112"/>
        <v>#N/A</v>
      </c>
      <c r="AD253" s="323" t="e">
        <f t="shared" ca="1" si="113"/>
        <v>#N/A</v>
      </c>
      <c r="AE253" s="324">
        <f t="shared" ca="1" si="92"/>
        <v>927.75933833269187</v>
      </c>
      <c r="AG253" s="306">
        <f t="shared" ca="1" si="114"/>
        <v>-14.171175466382131</v>
      </c>
      <c r="AH253" s="304">
        <f t="shared" ca="1" si="115"/>
        <v>-4.7547498557899166</v>
      </c>
    </row>
    <row r="254" spans="1:34" x14ac:dyDescent="0.2">
      <c r="A254" s="347">
        <f t="shared" ca="1" si="93"/>
        <v>0.1</v>
      </c>
      <c r="B254" s="304">
        <f t="shared" ca="1" si="94"/>
        <v>6.999999999999992</v>
      </c>
      <c r="D254" s="306">
        <f t="shared" ca="1" si="95"/>
        <v>-1.3072134013423813</v>
      </c>
      <c r="E254" s="307">
        <f t="shared" ca="1" si="96"/>
        <v>-14.239433573867856</v>
      </c>
      <c r="F254" s="304">
        <f t="shared" ca="1" si="97"/>
        <v>14.299310311383701</v>
      </c>
      <c r="G254" s="306">
        <f t="shared" ca="1" si="98"/>
        <v>28.160447808571146</v>
      </c>
      <c r="H254" s="307">
        <f t="shared" ca="1" si="99"/>
        <v>94.439405612693335</v>
      </c>
      <c r="I254" s="304">
        <f t="shared" ca="1" si="100"/>
        <v>98.548526895423834</v>
      </c>
      <c r="J254" s="306">
        <f t="shared" ca="1" si="101"/>
        <v>213.28878260086654</v>
      </c>
      <c r="K254" s="307">
        <f t="shared" ca="1" si="102"/>
        <v>937.27447606183057</v>
      </c>
      <c r="L254" s="304">
        <f t="shared" ca="1" si="87"/>
        <v>961.23646844069469</v>
      </c>
      <c r="M254" s="306">
        <f t="shared" ca="1" si="103"/>
        <v>1.2810051734318531</v>
      </c>
      <c r="N254" s="304">
        <f t="shared" ca="1" si="104"/>
        <v>73.396189972069237</v>
      </c>
      <c r="P254" s="310">
        <f t="shared" ca="1" si="105"/>
        <v>23</v>
      </c>
      <c r="Q254" s="304">
        <f t="shared" ca="1" si="106"/>
        <v>0</v>
      </c>
      <c r="R254" s="306">
        <f t="shared" ca="1" si="107"/>
        <v>0</v>
      </c>
      <c r="S254" s="307">
        <f t="shared" ca="1" si="108"/>
        <v>7.9769999999999968</v>
      </c>
      <c r="T254" s="304">
        <f t="shared" ca="1" si="88"/>
        <v>78.254369999999966</v>
      </c>
      <c r="U254" s="311">
        <f t="shared" ca="1" si="89"/>
        <v>0</v>
      </c>
      <c r="V254" s="306">
        <f t="shared" ca="1" si="90"/>
        <v>1.1153237157741362</v>
      </c>
      <c r="W254" s="304">
        <f t="shared" ca="1" si="91"/>
        <v>35.779547455027867</v>
      </c>
      <c r="Y254" s="314" t="str">
        <f t="shared" ca="1" si="109"/>
        <v/>
      </c>
      <c r="Z254" s="315" t="str">
        <f t="shared" ca="1" si="110"/>
        <v/>
      </c>
      <c r="AA254" s="316" t="str">
        <f t="shared" ca="1" si="111"/>
        <v/>
      </c>
      <c r="AC254" s="310">
        <f t="shared" ca="1" si="112"/>
        <v>6.999999999999992</v>
      </c>
      <c r="AD254" s="323">
        <f t="shared" ca="1" si="113"/>
        <v>213.28878260086654</v>
      </c>
      <c r="AE254" s="324">
        <f t="shared" ca="1" si="92"/>
        <v>937.27447606183057</v>
      </c>
      <c r="AG254" s="306">
        <f t="shared" ca="1" si="114"/>
        <v>-14.027118524086612</v>
      </c>
      <c r="AH254" s="304">
        <f t="shared" ca="1" si="115"/>
        <v>-4.6182993257211979</v>
      </c>
    </row>
    <row r="255" spans="1:34" x14ac:dyDescent="0.2">
      <c r="A255" s="347">
        <f t="shared" ca="1" si="93"/>
        <v>0.1</v>
      </c>
      <c r="B255" s="304">
        <f t="shared" ca="1" si="94"/>
        <v>7.0999999999999917</v>
      </c>
      <c r="D255" s="306">
        <f t="shared" ca="1" si="95"/>
        <v>-1.2816949438177088</v>
      </c>
      <c r="E255" s="307">
        <f t="shared" ca="1" si="96"/>
        <v>-14.108316187787942</v>
      </c>
      <c r="F255" s="304">
        <f t="shared" ca="1" si="97"/>
        <v>14.166415481116145</v>
      </c>
      <c r="G255" s="306">
        <f t="shared" ca="1" si="98"/>
        <v>28.032278314189373</v>
      </c>
      <c r="H255" s="307">
        <f t="shared" ca="1" si="99"/>
        <v>93.028573993914534</v>
      </c>
      <c r="I255" s="304">
        <f t="shared" ca="1" si="100"/>
        <v>97.160301599086253</v>
      </c>
      <c r="J255" s="306">
        <f t="shared" ca="1" si="101"/>
        <v>216.09841890700457</v>
      </c>
      <c r="K255" s="307">
        <f t="shared" ca="1" si="102"/>
        <v>946.64787504216099</v>
      </c>
      <c r="L255" s="304">
        <f t="shared" ca="1" si="87"/>
        <v>970.99985889594552</v>
      </c>
      <c r="M255" s="306">
        <f t="shared" ca="1" si="103"/>
        <v>1.2781200116179194</v>
      </c>
      <c r="N255" s="304">
        <f t="shared" ca="1" si="104"/>
        <v>73.23088237691853</v>
      </c>
      <c r="P255" s="310">
        <f t="shared" ca="1" si="105"/>
        <v>23</v>
      </c>
      <c r="Q255" s="304">
        <f t="shared" ca="1" si="106"/>
        <v>0</v>
      </c>
      <c r="R255" s="306">
        <f t="shared" ca="1" si="107"/>
        <v>0</v>
      </c>
      <c r="S255" s="307">
        <f t="shared" ca="1" si="108"/>
        <v>7.9769999999999968</v>
      </c>
      <c r="T255" s="304">
        <f t="shared" ca="1" si="88"/>
        <v>78.254369999999966</v>
      </c>
      <c r="U255" s="311">
        <f t="shared" ca="1" si="89"/>
        <v>0</v>
      </c>
      <c r="V255" s="306">
        <f t="shared" ca="1" si="90"/>
        <v>1.1142764461555346</v>
      </c>
      <c r="W255" s="304">
        <f t="shared" ca="1" si="91"/>
        <v>34.745958093928273</v>
      </c>
      <c r="Y255" s="314" t="str">
        <f t="shared" ca="1" si="109"/>
        <v/>
      </c>
      <c r="Z255" s="315" t="str">
        <f t="shared" ca="1" si="110"/>
        <v/>
      </c>
      <c r="AA255" s="316" t="str">
        <f t="shared" ca="1" si="111"/>
        <v/>
      </c>
      <c r="AC255" s="310" t="e">
        <f t="shared" ca="1" si="112"/>
        <v>#N/A</v>
      </c>
      <c r="AD255" s="323" t="e">
        <f t="shared" ca="1" si="113"/>
        <v>#N/A</v>
      </c>
      <c r="AE255" s="324">
        <f t="shared" ca="1" si="92"/>
        <v>946.64787504216099</v>
      </c>
      <c r="AG255" s="306">
        <f t="shared" ca="1" si="114"/>
        <v>-13.886296849416091</v>
      </c>
      <c r="AH255" s="304">
        <f t="shared" ca="1" si="115"/>
        <v>-4.4853387808734961</v>
      </c>
    </row>
    <row r="256" spans="1:34" x14ac:dyDescent="0.2">
      <c r="A256" s="347">
        <f t="shared" ca="1" si="93"/>
        <v>0.1</v>
      </c>
      <c r="B256" s="304">
        <f t="shared" ca="1" si="94"/>
        <v>7.1999999999999913</v>
      </c>
      <c r="D256" s="306">
        <f t="shared" ca="1" si="95"/>
        <v>-1.2567076001758837</v>
      </c>
      <c r="E256" s="307">
        <f t="shared" ca="1" si="96"/>
        <v>-13.980539214163684</v>
      </c>
      <c r="F256" s="304">
        <f t="shared" ca="1" si="97"/>
        <v>14.036908160670865</v>
      </c>
      <c r="G256" s="306">
        <f t="shared" ca="1" si="98"/>
        <v>27.906607554171785</v>
      </c>
      <c r="H256" s="307">
        <f t="shared" ca="1" si="99"/>
        <v>91.630520072498172</v>
      </c>
      <c r="I256" s="304">
        <f t="shared" ca="1" si="100"/>
        <v>95.78585988515762</v>
      </c>
      <c r="J256" s="306">
        <f t="shared" ca="1" si="101"/>
        <v>218.89536320042262</v>
      </c>
      <c r="K256" s="307">
        <f t="shared" ca="1" si="102"/>
        <v>955.88082974548161</v>
      </c>
      <c r="L256" s="304">
        <f t="shared" ca="1" si="87"/>
        <v>980.62395478876374</v>
      </c>
      <c r="M256" s="306">
        <f t="shared" ca="1" si="103"/>
        <v>1.2751651456978057</v>
      </c>
      <c r="N256" s="304">
        <f t="shared" ca="1" si="104"/>
        <v>73.061581030668975</v>
      </c>
      <c r="P256" s="310">
        <f t="shared" ca="1" si="105"/>
        <v>23</v>
      </c>
      <c r="Q256" s="304">
        <f t="shared" ca="1" si="106"/>
        <v>0</v>
      </c>
      <c r="R256" s="306">
        <f t="shared" ca="1" si="107"/>
        <v>0</v>
      </c>
      <c r="S256" s="307">
        <f t="shared" ca="1" si="108"/>
        <v>7.9769999999999968</v>
      </c>
      <c r="T256" s="304">
        <f t="shared" ca="1" si="88"/>
        <v>78.254369999999966</v>
      </c>
      <c r="U256" s="311">
        <f t="shared" ca="1" si="89"/>
        <v>0</v>
      </c>
      <c r="V256" s="306">
        <f t="shared" ca="1" si="90"/>
        <v>1.1132457839924226</v>
      </c>
      <c r="W256" s="304">
        <f t="shared" ca="1" si="91"/>
        <v>33.738634104564362</v>
      </c>
      <c r="Y256" s="314" t="str">
        <f t="shared" ca="1" si="109"/>
        <v/>
      </c>
      <c r="Z256" s="315" t="str">
        <f t="shared" ca="1" si="110"/>
        <v/>
      </c>
      <c r="AA256" s="316" t="str">
        <f t="shared" ca="1" si="111"/>
        <v/>
      </c>
      <c r="AC256" s="310" t="e">
        <f t="shared" ca="1" si="112"/>
        <v>#N/A</v>
      </c>
      <c r="AD256" s="323" t="e">
        <f t="shared" ca="1" si="113"/>
        <v>#N/A</v>
      </c>
      <c r="AE256" s="324">
        <f t="shared" ca="1" si="92"/>
        <v>955.88082974548161</v>
      </c>
      <c r="AG256" s="306">
        <f t="shared" ca="1" si="114"/>
        <v>-13.748598779358876</v>
      </c>
      <c r="AH256" s="304">
        <f t="shared" ca="1" si="115"/>
        <v>-4.3557675935725566</v>
      </c>
    </row>
    <row r="257" spans="1:34" x14ac:dyDescent="0.2">
      <c r="A257" s="347">
        <f t="shared" ca="1" si="93"/>
        <v>0.1</v>
      </c>
      <c r="B257" s="304">
        <f t="shared" ca="1" si="94"/>
        <v>7.2999999999999909</v>
      </c>
      <c r="D257" s="306">
        <f t="shared" ca="1" si="95"/>
        <v>-1.2322350193348617</v>
      </c>
      <c r="E257" s="307">
        <f t="shared" ca="1" si="96"/>
        <v>-13.856007220835382</v>
      </c>
      <c r="F257" s="304">
        <f t="shared" ca="1" si="97"/>
        <v>13.910691544517743</v>
      </c>
      <c r="G257" s="306">
        <f t="shared" ca="1" si="98"/>
        <v>27.783384052238301</v>
      </c>
      <c r="H257" s="307">
        <f t="shared" ca="1" si="99"/>
        <v>90.244919350414634</v>
      </c>
      <c r="I257" s="304">
        <f t="shared" ca="1" si="100"/>
        <v>94.424900836363136</v>
      </c>
      <c r="J257" s="306">
        <f t="shared" ca="1" si="101"/>
        <v>221.67986278074312</v>
      </c>
      <c r="K257" s="307">
        <f t="shared" ca="1" si="102"/>
        <v>964.97460171662726</v>
      </c>
      <c r="L257" s="304">
        <f t="shared" ca="1" si="87"/>
        <v>990.11006636669072</v>
      </c>
      <c r="M257" s="306">
        <f t="shared" ca="1" si="103"/>
        <v>1.2721383104982293</v>
      </c>
      <c r="N257" s="304">
        <f t="shared" ca="1" si="104"/>
        <v>72.888156148451614</v>
      </c>
      <c r="P257" s="310">
        <f t="shared" ca="1" si="105"/>
        <v>23</v>
      </c>
      <c r="Q257" s="304">
        <f t="shared" ca="1" si="106"/>
        <v>0</v>
      </c>
      <c r="R257" s="306">
        <f t="shared" ca="1" si="107"/>
        <v>0</v>
      </c>
      <c r="S257" s="307">
        <f t="shared" ca="1" si="108"/>
        <v>7.9769999999999968</v>
      </c>
      <c r="T257" s="304">
        <f t="shared" ca="1" si="88"/>
        <v>78.254369999999966</v>
      </c>
      <c r="U257" s="311">
        <f t="shared" ca="1" si="89"/>
        <v>0</v>
      </c>
      <c r="V257" s="306">
        <f t="shared" ca="1" si="90"/>
        <v>1.1122315459894638</v>
      </c>
      <c r="W257" s="304">
        <f t="shared" ca="1" si="91"/>
        <v>32.756833722101675</v>
      </c>
      <c r="Y257" s="314" t="str">
        <f t="shared" ca="1" si="109"/>
        <v/>
      </c>
      <c r="Z257" s="315" t="str">
        <f t="shared" ca="1" si="110"/>
        <v/>
      </c>
      <c r="AA257" s="316" t="str">
        <f t="shared" ca="1" si="111"/>
        <v/>
      </c>
      <c r="AC257" s="310" t="e">
        <f t="shared" ca="1" si="112"/>
        <v>#N/A</v>
      </c>
      <c r="AD257" s="323" t="e">
        <f t="shared" ca="1" si="113"/>
        <v>#N/A</v>
      </c>
      <c r="AE257" s="324">
        <f t="shared" ca="1" si="92"/>
        <v>964.97460171662726</v>
      </c>
      <c r="AG257" s="306">
        <f t="shared" ca="1" si="114"/>
        <v>-13.613915962501936</v>
      </c>
      <c r="AH257" s="304">
        <f t="shared" ca="1" si="115"/>
        <v>-4.2294890440722543</v>
      </c>
    </row>
    <row r="258" spans="1:34" x14ac:dyDescent="0.2">
      <c r="A258" s="347">
        <f t="shared" ca="1" si="93"/>
        <v>0.1</v>
      </c>
      <c r="B258" s="304">
        <f t="shared" ca="1" si="94"/>
        <v>7.3999999999999906</v>
      </c>
      <c r="D258" s="306">
        <f t="shared" ca="1" si="95"/>
        <v>-1.2082614766666784</v>
      </c>
      <c r="E258" s="307">
        <f t="shared" ca="1" si="96"/>
        <v>-13.734628450982839</v>
      </c>
      <c r="F258" s="304">
        <f t="shared" ca="1" si="97"/>
        <v>13.787672554950818</v>
      </c>
      <c r="G258" s="306">
        <f t="shared" ca="1" si="98"/>
        <v>27.662557904571631</v>
      </c>
      <c r="H258" s="307">
        <f t="shared" ca="1" si="99"/>
        <v>88.871456505316345</v>
      </c>
      <c r="I258" s="304">
        <f t="shared" ca="1" si="100"/>
        <v>93.077134094255996</v>
      </c>
      <c r="J258" s="306">
        <f t="shared" ca="1" si="101"/>
        <v>224.45215987858361</v>
      </c>
      <c r="K258" s="307">
        <f t="shared" ca="1" si="102"/>
        <v>973.93042050941381</v>
      </c>
      <c r="L258" s="304">
        <f t="shared" ca="1" si="87"/>
        <v>999.45947194861526</v>
      </c>
      <c r="M258" s="306">
        <f t="shared" ca="1" si="103"/>
        <v>1.2690371424142175</v>
      </c>
      <c r="N258" s="304">
        <f t="shared" ca="1" si="104"/>
        <v>72.710472305677058</v>
      </c>
      <c r="P258" s="310">
        <f t="shared" ca="1" si="105"/>
        <v>23</v>
      </c>
      <c r="Q258" s="304">
        <f t="shared" ca="1" si="106"/>
        <v>0</v>
      </c>
      <c r="R258" s="306">
        <f t="shared" ca="1" si="107"/>
        <v>0</v>
      </c>
      <c r="S258" s="307">
        <f t="shared" ca="1" si="108"/>
        <v>7.9769999999999968</v>
      </c>
      <c r="T258" s="304">
        <f t="shared" ca="1" si="88"/>
        <v>78.254369999999966</v>
      </c>
      <c r="U258" s="311">
        <f t="shared" ca="1" si="89"/>
        <v>0</v>
      </c>
      <c r="V258" s="306">
        <f t="shared" ca="1" si="90"/>
        <v>1.1112335536350033</v>
      </c>
      <c r="W258" s="304">
        <f t="shared" ca="1" si="91"/>
        <v>31.799843619920679</v>
      </c>
      <c r="Y258" s="314" t="str">
        <f t="shared" ca="1" si="109"/>
        <v/>
      </c>
      <c r="Z258" s="315" t="str">
        <f t="shared" ca="1" si="110"/>
        <v/>
      </c>
      <c r="AA258" s="316" t="str">
        <f t="shared" ca="1" si="111"/>
        <v/>
      </c>
      <c r="AC258" s="310" t="e">
        <f t="shared" ca="1" si="112"/>
        <v>#N/A</v>
      </c>
      <c r="AD258" s="323" t="e">
        <f t="shared" ca="1" si="113"/>
        <v>#N/A</v>
      </c>
      <c r="AE258" s="324">
        <f t="shared" ca="1" si="92"/>
        <v>973.93042050941381</v>
      </c>
      <c r="AG258" s="306">
        <f t="shared" ca="1" si="114"/>
        <v>-13.482143144791724</v>
      </c>
      <c r="AH258" s="304">
        <f t="shared" ca="1" si="115"/>
        <v>-4.1064101444279411</v>
      </c>
    </row>
    <row r="259" spans="1:34" x14ac:dyDescent="0.2">
      <c r="A259" s="347">
        <f t="shared" ca="1" si="93"/>
        <v>0.1</v>
      </c>
      <c r="B259" s="304">
        <f t="shared" ca="1" si="94"/>
        <v>7.4999999999999902</v>
      </c>
      <c r="D259" s="306">
        <f t="shared" ca="1" si="95"/>
        <v>-1.1847718466815274</v>
      </c>
      <c r="E259" s="307">
        <f t="shared" ca="1" si="96"/>
        <v>-13.616314658402562</v>
      </c>
      <c r="F259" s="304">
        <f t="shared" ca="1" si="97"/>
        <v>13.667761675026297</v>
      </c>
      <c r="G259" s="306">
        <f t="shared" ca="1" si="98"/>
        <v>27.54408071990348</v>
      </c>
      <c r="H259" s="307">
        <f t="shared" ca="1" si="99"/>
        <v>87.509825039476084</v>
      </c>
      <c r="I259" s="304">
        <f t="shared" ca="1" si="100"/>
        <v>91.742279572421097</v>
      </c>
      <c r="J259" s="306">
        <f t="shared" ca="1" si="101"/>
        <v>227.21249180980737</v>
      </c>
      <c r="K259" s="307">
        <f t="shared" ca="1" si="102"/>
        <v>982.74948458665347</v>
      </c>
      <c r="L259" s="304">
        <f t="shared" ca="1" si="87"/>
        <v>1008.6734188476242</v>
      </c>
      <c r="M259" s="306">
        <f t="shared" ca="1" si="103"/>
        <v>1.2658591742321137</v>
      </c>
      <c r="N259" s="304">
        <f t="shared" ca="1" si="104"/>
        <v>72.528388141415647</v>
      </c>
      <c r="P259" s="310">
        <f t="shared" ca="1" si="105"/>
        <v>23</v>
      </c>
      <c r="Q259" s="304">
        <f t="shared" ca="1" si="106"/>
        <v>0</v>
      </c>
      <c r="R259" s="306">
        <f t="shared" ca="1" si="107"/>
        <v>0</v>
      </c>
      <c r="S259" s="307">
        <f t="shared" ca="1" si="108"/>
        <v>7.9769999999999968</v>
      </c>
      <c r="T259" s="304">
        <f t="shared" ca="1" si="88"/>
        <v>78.254369999999966</v>
      </c>
      <c r="U259" s="311">
        <f t="shared" ca="1" si="89"/>
        <v>0</v>
      </c>
      <c r="V259" s="306">
        <f t="shared" ca="1" si="90"/>
        <v>1.1102516330614367</v>
      </c>
      <c r="W259" s="304">
        <f t="shared" ca="1" si="91"/>
        <v>30.866977649366778</v>
      </c>
      <c r="Y259" s="314" t="str">
        <f t="shared" ca="1" si="109"/>
        <v/>
      </c>
      <c r="Z259" s="315" t="str">
        <f t="shared" ca="1" si="110"/>
        <v/>
      </c>
      <c r="AA259" s="316" t="str">
        <f t="shared" ca="1" si="111"/>
        <v/>
      </c>
      <c r="AC259" s="310" t="e">
        <f t="shared" ca="1" si="112"/>
        <v>#N/A</v>
      </c>
      <c r="AD259" s="323" t="e">
        <f t="shared" ca="1" si="113"/>
        <v>#N/A</v>
      </c>
      <c r="AE259" s="324">
        <f t="shared" ca="1" si="92"/>
        <v>982.74948458665347</v>
      </c>
      <c r="AG259" s="306">
        <f t="shared" ca="1" si="114"/>
        <v>-13.353177961848733</v>
      </c>
      <c r="AH259" s="304">
        <f t="shared" ca="1" si="115"/>
        <v>-3.9864414717212853</v>
      </c>
    </row>
    <row r="260" spans="1:34" x14ac:dyDescent="0.2">
      <c r="A260" s="347">
        <f t="shared" ca="1" si="93"/>
        <v>0.1</v>
      </c>
      <c r="B260" s="304">
        <f t="shared" ca="1" si="94"/>
        <v>7.5999999999999899</v>
      </c>
      <c r="D260" s="306">
        <f t="shared" ca="1" si="95"/>
        <v>-1.1617515772189915</v>
      </c>
      <c r="E260" s="307">
        <f t="shared" ca="1" si="96"/>
        <v>-13.500980951428375</v>
      </c>
      <c r="F260" s="304">
        <f t="shared" ca="1" si="97"/>
        <v>13.550872790267151</v>
      </c>
      <c r="G260" s="306">
        <f t="shared" ca="1" si="98"/>
        <v>27.427905562181582</v>
      </c>
      <c r="H260" s="307">
        <f t="shared" ca="1" si="99"/>
        <v>86.159726944333244</v>
      </c>
      <c r="I260" s="304">
        <f t="shared" ca="1" si="100"/>
        <v>90.42006719003264</v>
      </c>
      <c r="J260" s="306">
        <f t="shared" ca="1" si="101"/>
        <v>229.96109112391161</v>
      </c>
      <c r="K260" s="307">
        <f t="shared" ca="1" si="102"/>
        <v>991.43296218584396</v>
      </c>
      <c r="L260" s="304">
        <f t="shared" ref="L260:L323" ca="1" si="116">SQRT(pos_x^2+pos_z^2)</f>
        <v>1017.7531242592661</v>
      </c>
      <c r="M260" s="306">
        <f t="shared" ca="1" si="103"/>
        <v>1.2626018296354422</v>
      </c>
      <c r="N260" s="304">
        <f t="shared" ca="1" si="104"/>
        <v>72.341756043606622</v>
      </c>
      <c r="P260" s="310">
        <f t="shared" ca="1" si="105"/>
        <v>23</v>
      </c>
      <c r="Q260" s="304">
        <f t="shared" ca="1" si="106"/>
        <v>0</v>
      </c>
      <c r="R260" s="306">
        <f t="shared" ca="1" si="107"/>
        <v>0</v>
      </c>
      <c r="S260" s="307">
        <f t="shared" ca="1" si="108"/>
        <v>7.9769999999999968</v>
      </c>
      <c r="T260" s="304">
        <f t="shared" ref="T260:T323" ca="1" si="117">m*g</f>
        <v>78.254369999999966</v>
      </c>
      <c r="U260" s="311">
        <f t="shared" ref="U260:U323" ca="1" si="118">IF(pos_xz&lt;L_rampe,Poids*COS(Beta),0)</f>
        <v>0</v>
      </c>
      <c r="V260" s="306">
        <f t="shared" ref="V260:V323" ca="1" si="119">Rho_moyen*(20000-Alt_rampe-pos_z)/(20000+Alt_rampe+pos_z)</f>
        <v>1.1092856149110468</v>
      </c>
      <c r="W260" s="304">
        <f t="shared" ref="W260:W323" ca="1" si="120">1/2*Rho*Sref*Cx*vit_xz^2</f>
        <v>29.957575645436414</v>
      </c>
      <c r="Y260" s="314" t="str">
        <f t="shared" ca="1" si="109"/>
        <v/>
      </c>
      <c r="Z260" s="315" t="str">
        <f t="shared" ca="1" si="110"/>
        <v/>
      </c>
      <c r="AA260" s="316" t="str">
        <f t="shared" ca="1" si="111"/>
        <v/>
      </c>
      <c r="AC260" s="310" t="e">
        <f t="shared" ca="1" si="112"/>
        <v>#N/A</v>
      </c>
      <c r="AD260" s="323" t="e">
        <f t="shared" ca="1" si="113"/>
        <v>#N/A</v>
      </c>
      <c r="AE260" s="324">
        <f t="shared" ref="AE260:AE323" ca="1" si="121">IF(t&lt;T_para, pos_z, NA())</f>
        <v>991.43296218584396</v>
      </c>
      <c r="AG260" s="306">
        <f t="shared" ca="1" si="114"/>
        <v>-13.226920737044509</v>
      </c>
      <c r="AH260" s="304">
        <f t="shared" ca="1" si="115"/>
        <v>-3.8694970100748138</v>
      </c>
    </row>
    <row r="261" spans="1:34" x14ac:dyDescent="0.2">
      <c r="A261" s="347">
        <f t="shared" ref="A261:A324" ca="1" si="122">IF(B260+0.01&lt;=T_ini+ROUNDUP(Temps_fin_propu,0), 0.01, IF(K260&gt;0, 0.1, 0.0001))</f>
        <v>0.1</v>
      </c>
      <c r="B261" s="304">
        <f t="shared" ref="B261:B324" ca="1" si="123">B260+pas</f>
        <v>7.6999999999999895</v>
      </c>
      <c r="D261" s="306">
        <f t="shared" ref="D261:D324" ca="1" si="124">IF(AND(L260&lt;L_rampe,Poussee&lt;Poids*SIN(M260)),0,(-W260+Poussee)/m*COS(M260)-U260/m*SIN(M260))</f>
        <v>-1.1391866650621498</v>
      </c>
      <c r="E261" s="307">
        <f t="shared" ref="E261:E324" ca="1" si="125">IF(AND(L260&lt;L_rampe,Poussee&lt;Poids*SIN(M260)),0,(-W260+Poussee)/m*SIN(M260)+U260/m*COS(M260)-Poids/m)</f>
        <v>-13.388545644976821</v>
      </c>
      <c r="F261" s="304">
        <f t="shared" ref="F261:F324" ca="1" si="126">SQRT(acc_x^2+acc_z^2)</f>
        <v>13.436923038608327</v>
      </c>
      <c r="G261" s="306">
        <f t="shared" ref="G261:G324" ca="1" si="127">G260+acc_x*pas</f>
        <v>27.313986895675367</v>
      </c>
      <c r="H261" s="307">
        <f t="shared" ref="H261:H324" ca="1" si="128">H260+acc_z*pas</f>
        <v>84.820872379835563</v>
      </c>
      <c r="I261" s="304">
        <f t="shared" ref="I261:I324" ca="1" si="129">SQRT(vit_x^2+vit_z^2)</f>
        <v>89.110236625280464</v>
      </c>
      <c r="J261" s="306">
        <f t="shared" ref="J261:J324" ca="1" si="130">J260+0.5*(vit_x+G260)*pas*(K260&gt;=0)</f>
        <v>232.69818574680446</v>
      </c>
      <c r="K261" s="307">
        <f t="shared" ref="K261:K324" ca="1" si="131">K260+0.5*(vit_z+H260)*pas</f>
        <v>999.98199215205238</v>
      </c>
      <c r="L261" s="304">
        <f t="shared" ca="1" si="116"/>
        <v>1026.6997761167777</v>
      </c>
      <c r="M261" s="306">
        <f t="shared" ref="M261:M324" ca="1" si="132">IF(AND(L260&gt;L_rampe,G261&gt;0),ATAN2(G261,H261),$M$4)</f>
        <v>1.2592624173720068</v>
      </c>
      <c r="N261" s="304">
        <f t="shared" ref="N261:N324" ca="1" si="133">DEGREES(Beta)</f>
        <v>72.150421814857552</v>
      </c>
      <c r="P261" s="310">
        <f t="shared" ref="P261:P324" ca="1" si="134">MATCH(t-pas/2-T_ini,CdP_t)</f>
        <v>23</v>
      </c>
      <c r="Q261" s="304">
        <f t="shared" ref="Q261:Q324" ca="1" si="135">(INDEX(CdP,2,i_P+1)-INDEX(CdP,2,i_P+0))/(INDEX(CdP,1,i_P+1)-INDEX(CdP,1,i_P+0))*(t-pas/2-T_ini-INDEX(CdP,1,i_P+0))+INDEX(CdP,2,i_P+0)</f>
        <v>0</v>
      </c>
      <c r="R261" s="306">
        <f t="shared" ref="R261:R324" ca="1" si="136">Poussee/(g*ISP)</f>
        <v>0</v>
      </c>
      <c r="S261" s="307">
        <f t="shared" ref="S261:S324" ca="1" si="137">S260-Débit*pas</f>
        <v>7.9769999999999968</v>
      </c>
      <c r="T261" s="304">
        <f t="shared" ca="1" si="117"/>
        <v>78.254369999999966</v>
      </c>
      <c r="U261" s="311">
        <f t="shared" ca="1" si="118"/>
        <v>0</v>
      </c>
      <c r="V261" s="306">
        <f t="shared" ca="1" si="119"/>
        <v>1.1083353342070432</v>
      </c>
      <c r="W261" s="304">
        <f t="shared" ca="1" si="120"/>
        <v>29.071002294499383</v>
      </c>
      <c r="Y261" s="314" t="str">
        <f t="shared" ref="Y261:Y324" ca="1" si="138">IF(AND(pos_z&lt;=0,K260&gt;0),"Impact balistique","") &amp; IF(AND(H262&lt;0,vit_z&gt;=0),"Apogée","") &amp; IF(AND(Poussee=0,Q260&gt;0),"Fin de propulsion","") &amp; IF(AND(L262&gt;L_rampe,pos_xz&lt;=L_rampe),"Sortie de rampe","")</f>
        <v/>
      </c>
      <c r="Z261" s="315" t="str">
        <f t="shared" ref="Z261:Z324" ca="1" si="139">IF(ABS(t-T_para)&lt;pas/2,"Para","")</f>
        <v/>
      </c>
      <c r="AA261" s="316" t="str">
        <f t="shared" ref="AA261:AA324" ca="1" si="140">IF(ABS(t-T_satellite)&lt;pas/2,"Satellite","")</f>
        <v/>
      </c>
      <c r="AC261" s="310" t="e">
        <f t="shared" ref="AC261:AC324" ca="1" si="141">IF(ABS(t-ROUND(t,0))&lt;0.001,t,NA())</f>
        <v>#N/A</v>
      </c>
      <c r="AD261" s="323" t="e">
        <f t="shared" ref="AD261:AD324" ca="1" si="142">IF(ABS(t-ROUND(t,0))&lt;0.001,pos_x,NA())</f>
        <v>#N/A</v>
      </c>
      <c r="AE261" s="324">
        <f t="shared" ca="1" si="121"/>
        <v>999.98199215205238</v>
      </c>
      <c r="AG261" s="306">
        <f t="shared" ref="AG261:AG324" ca="1" si="143">IF(AND(L260&lt;L_rampe,Poussee&lt;Poids*SIN(M260)),0,(-W260+Poussee)/m-Poids*SIN(M260)/m)</f>
        <v>-13.103274284566901</v>
      </c>
      <c r="AH261" s="304">
        <f t="shared" ref="AH261:AH324" ca="1" si="144">IF(AND(L260&lt;L_rampe,Poussee&lt;Poids*SIN(M260)), g*SIN(M260), (-W260+Poussee)/m)</f>
        <v>-3.7554940009322335</v>
      </c>
    </row>
    <row r="262" spans="1:34" x14ac:dyDescent="0.2">
      <c r="A262" s="347">
        <f t="shared" ca="1" si="122"/>
        <v>0.1</v>
      </c>
      <c r="B262" s="304">
        <f t="shared" ca="1" si="123"/>
        <v>7.7999999999999892</v>
      </c>
      <c r="D262" s="306">
        <f t="shared" ca="1" si="124"/>
        <v>-1.1170636328963612</v>
      </c>
      <c r="E262" s="307">
        <f t="shared" ca="1" si="125"/>
        <v>-13.278930120232999</v>
      </c>
      <c r="F262" s="304">
        <f t="shared" ca="1" si="126"/>
        <v>13.325832668091357</v>
      </c>
      <c r="G262" s="306">
        <f t="shared" ca="1" si="127"/>
        <v>27.202280532385732</v>
      </c>
      <c r="H262" s="307">
        <f t="shared" ca="1" si="128"/>
        <v>83.492979367812268</v>
      </c>
      <c r="I262" s="304">
        <f t="shared" ca="1" si="129"/>
        <v>87.812537088257145</v>
      </c>
      <c r="J262" s="306">
        <f t="shared" ca="1" si="130"/>
        <v>235.42399911820752</v>
      </c>
      <c r="K262" s="307">
        <f t="shared" ca="1" si="131"/>
        <v>1008.3976847394348</v>
      </c>
      <c r="L262" s="304">
        <f t="shared" ca="1" si="116"/>
        <v>1035.5145339147405</v>
      </c>
      <c r="M262" s="306">
        <f t="shared" ca="1" si="132"/>
        <v>1.2558381250590263</v>
      </c>
      <c r="N262" s="304">
        <f t="shared" ca="1" si="133"/>
        <v>71.954224317504668</v>
      </c>
      <c r="P262" s="310">
        <f t="shared" ca="1" si="134"/>
        <v>23</v>
      </c>
      <c r="Q262" s="304">
        <f t="shared" ca="1" si="135"/>
        <v>0</v>
      </c>
      <c r="R262" s="306">
        <f t="shared" ca="1" si="136"/>
        <v>0</v>
      </c>
      <c r="S262" s="307">
        <f t="shared" ca="1" si="137"/>
        <v>7.9769999999999968</v>
      </c>
      <c r="T262" s="304">
        <f t="shared" ca="1" si="117"/>
        <v>78.254369999999966</v>
      </c>
      <c r="U262" s="311">
        <f t="shared" ca="1" si="118"/>
        <v>0</v>
      </c>
      <c r="V262" s="306">
        <f t="shared" ca="1" si="119"/>
        <v>1.1074006302295847</v>
      </c>
      <c r="W262" s="304">
        <f t="shared" ca="1" si="120"/>
        <v>28.20664606041634</v>
      </c>
      <c r="Y262" s="314" t="str">
        <f t="shared" ca="1" si="138"/>
        <v/>
      </c>
      <c r="Z262" s="315" t="str">
        <f t="shared" ca="1" si="139"/>
        <v/>
      </c>
      <c r="AA262" s="316" t="str">
        <f t="shared" ca="1" si="140"/>
        <v/>
      </c>
      <c r="AC262" s="310" t="e">
        <f t="shared" ca="1" si="141"/>
        <v>#N/A</v>
      </c>
      <c r="AD262" s="323" t="e">
        <f t="shared" ca="1" si="142"/>
        <v>#N/A</v>
      </c>
      <c r="AE262" s="324">
        <f t="shared" ca="1" si="121"/>
        <v>1008.3976847394348</v>
      </c>
      <c r="AG262" s="306">
        <f t="shared" ca="1" si="143"/>
        <v>-12.982143716712002</v>
      </c>
      <c r="AH262" s="304">
        <f t="shared" ca="1" si="144"/>
        <v>-3.6443528011156316</v>
      </c>
    </row>
    <row r="263" spans="1:34" x14ac:dyDescent="0.2">
      <c r="A263" s="347">
        <f t="shared" ca="1" si="122"/>
        <v>0.1</v>
      </c>
      <c r="B263" s="304">
        <f t="shared" ca="1" si="123"/>
        <v>7.8999999999999888</v>
      </c>
      <c r="D263" s="306">
        <f t="shared" ca="1" si="124"/>
        <v>-1.0953695075402621</v>
      </c>
      <c r="E263" s="307">
        <f t="shared" ca="1" si="125"/>
        <v>-13.172058691524303</v>
      </c>
      <c r="F263" s="304">
        <f t="shared" ca="1" si="126"/>
        <v>13.217524901849435</v>
      </c>
      <c r="G263" s="306">
        <f t="shared" ca="1" si="127"/>
        <v>27.092743581631705</v>
      </c>
      <c r="H263" s="307">
        <f t="shared" ca="1" si="128"/>
        <v>82.175773498659836</v>
      </c>
      <c r="I263" s="304">
        <f t="shared" ca="1" si="129"/>
        <v>86.526727112974115</v>
      </c>
      <c r="J263" s="306">
        <f t="shared" ca="1" si="130"/>
        <v>238.1387503239084</v>
      </c>
      <c r="K263" s="307">
        <f t="shared" ca="1" si="131"/>
        <v>1016.6811223827584</v>
      </c>
      <c r="L263" s="304">
        <f t="shared" ca="1" si="116"/>
        <v>1044.1985295025549</v>
      </c>
      <c r="M263" s="306">
        <f t="shared" ca="1" si="132"/>
        <v>1.2523260126014304</v>
      </c>
      <c r="N263" s="304">
        <f t="shared" ca="1" si="133"/>
        <v>71.75299509650911</v>
      </c>
      <c r="P263" s="310">
        <f t="shared" ca="1" si="134"/>
        <v>23</v>
      </c>
      <c r="Q263" s="304">
        <f t="shared" ca="1" si="135"/>
        <v>0</v>
      </c>
      <c r="R263" s="306">
        <f t="shared" ca="1" si="136"/>
        <v>0</v>
      </c>
      <c r="S263" s="307">
        <f t="shared" ca="1" si="137"/>
        <v>7.9769999999999968</v>
      </c>
      <c r="T263" s="304">
        <f t="shared" ca="1" si="117"/>
        <v>78.254369999999966</v>
      </c>
      <c r="U263" s="311">
        <f t="shared" ca="1" si="118"/>
        <v>0</v>
      </c>
      <c r="V263" s="306">
        <f t="shared" ca="1" si="119"/>
        <v>1.1064813463965544</v>
      </c>
      <c r="W263" s="304">
        <f t="shared" ca="1" si="120"/>
        <v>27.363918165649782</v>
      </c>
      <c r="Y263" s="314" t="str">
        <f t="shared" ca="1" si="138"/>
        <v/>
      </c>
      <c r="Z263" s="315" t="str">
        <f t="shared" ca="1" si="139"/>
        <v/>
      </c>
      <c r="AA263" s="316" t="str">
        <f t="shared" ca="1" si="140"/>
        <v/>
      </c>
      <c r="AC263" s="310" t="e">
        <f t="shared" ca="1" si="141"/>
        <v>#N/A</v>
      </c>
      <c r="AD263" s="323" t="e">
        <f t="shared" ca="1" si="142"/>
        <v>#N/A</v>
      </c>
      <c r="AE263" s="324">
        <f t="shared" ca="1" si="121"/>
        <v>1016.6811223827584</v>
      </c>
      <c r="AG263" s="306">
        <f t="shared" ca="1" si="143"/>
        <v>-12.863436254648832</v>
      </c>
      <c r="AH263" s="304">
        <f t="shared" ca="1" si="144"/>
        <v>-3.5359967482031278</v>
      </c>
    </row>
    <row r="264" spans="1:34" x14ac:dyDescent="0.2">
      <c r="A264" s="347">
        <f t="shared" ca="1" si="122"/>
        <v>0.1</v>
      </c>
      <c r="B264" s="304">
        <f t="shared" ca="1" si="123"/>
        <v>7.9999999999999885</v>
      </c>
      <c r="D264" s="306">
        <f t="shared" ca="1" si="124"/>
        <v>-1.074091799381816</v>
      </c>
      <c r="E264" s="307">
        <f t="shared" ca="1" si="125"/>
        <v>-13.067858479958796</v>
      </c>
      <c r="F264" s="304">
        <f t="shared" ca="1" si="126"/>
        <v>13.111925809953711</v>
      </c>
      <c r="G264" s="306">
        <f t="shared" ca="1" si="127"/>
        <v>26.985334401693525</v>
      </c>
      <c r="H264" s="307">
        <f t="shared" ca="1" si="128"/>
        <v>80.868987650663954</v>
      </c>
      <c r="I264" s="304">
        <f t="shared" ca="1" si="129"/>
        <v>85.252574368252738</v>
      </c>
      <c r="J264" s="306">
        <f t="shared" ca="1" si="130"/>
        <v>240.84265422307465</v>
      </c>
      <c r="K264" s="307">
        <f t="shared" ca="1" si="131"/>
        <v>1024.8333604402246</v>
      </c>
      <c r="L264" s="304">
        <f t="shared" ca="1" si="116"/>
        <v>1052.7528678490594</v>
      </c>
      <c r="M264" s="306">
        <f t="shared" ca="1" si="132"/>
        <v>1.2487230051966354</v>
      </c>
      <c r="N264" s="304">
        <f t="shared" ca="1" si="133"/>
        <v>71.546557978659976</v>
      </c>
      <c r="P264" s="310">
        <f t="shared" ca="1" si="134"/>
        <v>23</v>
      </c>
      <c r="Q264" s="304">
        <f t="shared" ca="1" si="135"/>
        <v>0</v>
      </c>
      <c r="R264" s="306">
        <f t="shared" ca="1" si="136"/>
        <v>0</v>
      </c>
      <c r="S264" s="307">
        <f t="shared" ca="1" si="137"/>
        <v>7.9769999999999968</v>
      </c>
      <c r="T264" s="304">
        <f t="shared" ca="1" si="117"/>
        <v>78.254369999999966</v>
      </c>
      <c r="U264" s="311">
        <f t="shared" ca="1" si="118"/>
        <v>0</v>
      </c>
      <c r="V264" s="306">
        <f t="shared" ca="1" si="119"/>
        <v>1.1055773301488856</v>
      </c>
      <c r="W264" s="304">
        <f t="shared" ca="1" si="120"/>
        <v>26.542251624190161</v>
      </c>
      <c r="Y264" s="314" t="str">
        <f t="shared" ca="1" si="138"/>
        <v/>
      </c>
      <c r="Z264" s="315" t="str">
        <f t="shared" ca="1" si="139"/>
        <v/>
      </c>
      <c r="AA264" s="316" t="str">
        <f t="shared" ca="1" si="140"/>
        <v/>
      </c>
      <c r="AC264" s="310">
        <f t="shared" ca="1" si="141"/>
        <v>7.9999999999999885</v>
      </c>
      <c r="AD264" s="323">
        <f t="shared" ca="1" si="142"/>
        <v>240.84265422307465</v>
      </c>
      <c r="AE264" s="324">
        <f t="shared" ca="1" si="121"/>
        <v>1024.8333604402246</v>
      </c>
      <c r="AG264" s="306">
        <f t="shared" ca="1" si="143"/>
        <v>-12.747061041905955</v>
      </c>
      <c r="AH264" s="304">
        <f t="shared" ca="1" si="144"/>
        <v>-3.4303520328005255</v>
      </c>
    </row>
    <row r="265" spans="1:34" x14ac:dyDescent="0.2">
      <c r="A265" s="347">
        <f t="shared" ca="1" si="122"/>
        <v>0.1</v>
      </c>
      <c r="B265" s="304">
        <f t="shared" ca="1" si="123"/>
        <v>8.099999999999989</v>
      </c>
      <c r="D265" s="306">
        <f t="shared" ca="1" si="124"/>
        <v>-1.0532184829573004</v>
      </c>
      <c r="E265" s="307">
        <f t="shared" ca="1" si="125"/>
        <v>-12.966259293432353</v>
      </c>
      <c r="F265" s="304">
        <f t="shared" ca="1" si="126"/>
        <v>13.00896418771932</v>
      </c>
      <c r="G265" s="306">
        <f t="shared" ca="1" si="127"/>
        <v>26.880012553397794</v>
      </c>
      <c r="H265" s="307">
        <f t="shared" ca="1" si="128"/>
        <v>79.572361721320718</v>
      </c>
      <c r="I265" s="304">
        <f t="shared" ca="1" si="129"/>
        <v>83.989855487311857</v>
      </c>
      <c r="J265" s="306">
        <f t="shared" ca="1" si="130"/>
        <v>243.5359215708292</v>
      </c>
      <c r="K265" s="307">
        <f t="shared" ca="1" si="131"/>
        <v>1032.8554279088239</v>
      </c>
      <c r="L265" s="304">
        <f t="shared" ca="1" si="116"/>
        <v>1061.1786277795425</v>
      </c>
      <c r="M265" s="306">
        <f t="shared" ca="1" si="132"/>
        <v>1.2450258858971954</v>
      </c>
      <c r="N265" s="304">
        <f t="shared" ca="1" si="133"/>
        <v>71.334728646445697</v>
      </c>
      <c r="P265" s="310">
        <f t="shared" ca="1" si="134"/>
        <v>23</v>
      </c>
      <c r="Q265" s="304">
        <f t="shared" ca="1" si="135"/>
        <v>0</v>
      </c>
      <c r="R265" s="306">
        <f t="shared" ca="1" si="136"/>
        <v>0</v>
      </c>
      <c r="S265" s="307">
        <f t="shared" ca="1" si="137"/>
        <v>7.9769999999999968</v>
      </c>
      <c r="T265" s="304">
        <f t="shared" ca="1" si="117"/>
        <v>78.254369999999966</v>
      </c>
      <c r="U265" s="311">
        <f t="shared" ca="1" si="118"/>
        <v>0</v>
      </c>
      <c r="V265" s="306">
        <f t="shared" ca="1" si="119"/>
        <v>1.1046884328402284</v>
      </c>
      <c r="W265" s="304">
        <f t="shared" ca="1" si="120"/>
        <v>25.741100323323796</v>
      </c>
      <c r="Y265" s="314" t="str">
        <f t="shared" ca="1" si="138"/>
        <v/>
      </c>
      <c r="Z265" s="315" t="str">
        <f t="shared" ca="1" si="139"/>
        <v/>
      </c>
      <c r="AA265" s="316" t="str">
        <f t="shared" ca="1" si="140"/>
        <v/>
      </c>
      <c r="AC265" s="310" t="e">
        <f t="shared" ca="1" si="141"/>
        <v>#N/A</v>
      </c>
      <c r="AD265" s="323" t="e">
        <f t="shared" ca="1" si="142"/>
        <v>#N/A</v>
      </c>
      <c r="AE265" s="324">
        <f t="shared" ca="1" si="121"/>
        <v>1032.8554279088239</v>
      </c>
      <c r="AG265" s="306">
        <f t="shared" ca="1" si="143"/>
        <v>-12.632928959827348</v>
      </c>
      <c r="AH265" s="304">
        <f t="shared" ca="1" si="144"/>
        <v>-3.3273475773085335</v>
      </c>
    </row>
    <row r="266" spans="1:34" x14ac:dyDescent="0.2">
      <c r="A266" s="347">
        <f t="shared" ca="1" si="122"/>
        <v>0.1</v>
      </c>
      <c r="B266" s="304">
        <f t="shared" ca="1" si="123"/>
        <v>8.1999999999999886</v>
      </c>
      <c r="D266" s="306">
        <f t="shared" ca="1" si="124"/>
        <v>-1.0327379786157456</v>
      </c>
      <c r="E266" s="307">
        <f t="shared" ca="1" si="125"/>
        <v>-12.867193512633609</v>
      </c>
      <c r="F266" s="304">
        <f t="shared" ca="1" si="126"/>
        <v>12.908571440094978</v>
      </c>
      <c r="G266" s="306">
        <f t="shared" ca="1" si="127"/>
        <v>26.776738755536218</v>
      </c>
      <c r="H266" s="307">
        <f t="shared" ca="1" si="128"/>
        <v>78.28564237005736</v>
      </c>
      <c r="I266" s="304">
        <f t="shared" ca="1" si="129"/>
        <v>82.738355915952042</v>
      </c>
      <c r="J266" s="306">
        <f t="shared" ca="1" si="130"/>
        <v>246.21875913627591</v>
      </c>
      <c r="K266" s="307">
        <f t="shared" ca="1" si="131"/>
        <v>1040.7483281133927</v>
      </c>
      <c r="L266" s="304">
        <f t="shared" ca="1" si="116"/>
        <v>1069.4768626863461</v>
      </c>
      <c r="M266" s="306">
        <f t="shared" ca="1" si="132"/>
        <v>1.2412312877006639</v>
      </c>
      <c r="N266" s="304">
        <f t="shared" ca="1" si="133"/>
        <v>71.117314184836488</v>
      </c>
      <c r="P266" s="310">
        <f t="shared" ca="1" si="134"/>
        <v>23</v>
      </c>
      <c r="Q266" s="304">
        <f t="shared" ca="1" si="135"/>
        <v>0</v>
      </c>
      <c r="R266" s="306">
        <f t="shared" ca="1" si="136"/>
        <v>0</v>
      </c>
      <c r="S266" s="307">
        <f t="shared" ca="1" si="137"/>
        <v>7.9769999999999968</v>
      </c>
      <c r="T266" s="304">
        <f t="shared" ca="1" si="117"/>
        <v>78.254369999999966</v>
      </c>
      <c r="U266" s="311">
        <f t="shared" ca="1" si="118"/>
        <v>0</v>
      </c>
      <c r="V266" s="306">
        <f t="shared" ca="1" si="119"/>
        <v>1.1038145096307779</v>
      </c>
      <c r="W266" s="304">
        <f t="shared" ca="1" si="120"/>
        <v>24.959938151461987</v>
      </c>
      <c r="Y266" s="314" t="str">
        <f t="shared" ca="1" si="138"/>
        <v/>
      </c>
      <c r="Z266" s="315" t="str">
        <f t="shared" ca="1" si="139"/>
        <v/>
      </c>
      <c r="AA266" s="316" t="str">
        <f t="shared" ca="1" si="140"/>
        <v/>
      </c>
      <c r="AC266" s="310" t="e">
        <f t="shared" ca="1" si="141"/>
        <v>#N/A</v>
      </c>
      <c r="AD266" s="323" t="e">
        <f t="shared" ca="1" si="142"/>
        <v>#N/A</v>
      </c>
      <c r="AE266" s="324">
        <f t="shared" ca="1" si="121"/>
        <v>1040.7483281133927</v>
      </c>
      <c r="AG266" s="306">
        <f t="shared" ca="1" si="143"/>
        <v>-12.520952444238247</v>
      </c>
      <c r="AH266" s="304">
        <f t="shared" ca="1" si="144"/>
        <v>-3.2269149208128125</v>
      </c>
    </row>
    <row r="267" spans="1:34" x14ac:dyDescent="0.2">
      <c r="A267" s="347">
        <f t="shared" ca="1" si="122"/>
        <v>0.1</v>
      </c>
      <c r="B267" s="304">
        <f t="shared" ca="1" si="123"/>
        <v>8.2999999999999883</v>
      </c>
      <c r="D267" s="306">
        <f t="shared" ca="1" si="124"/>
        <v>-1.0126391352158235</v>
      </c>
      <c r="E267" s="307">
        <f t="shared" ca="1" si="125"/>
        <v>-12.770595982699335</v>
      </c>
      <c r="F267" s="304">
        <f t="shared" ca="1" si="126"/>
        <v>12.810681471783891</v>
      </c>
      <c r="G267" s="306">
        <f t="shared" ca="1" si="127"/>
        <v>26.675474842014637</v>
      </c>
      <c r="H267" s="307">
        <f t="shared" ca="1" si="128"/>
        <v>77.008582771787431</v>
      </c>
      <c r="I267" s="304">
        <f t="shared" ca="1" si="129"/>
        <v>81.497869779315039</v>
      </c>
      <c r="J267" s="306">
        <f t="shared" ca="1" si="130"/>
        <v>248.89136981615346</v>
      </c>
      <c r="K267" s="307">
        <f t="shared" ca="1" si="131"/>
        <v>1048.5130393704849</v>
      </c>
      <c r="L267" s="304">
        <f t="shared" ca="1" si="116"/>
        <v>1077.6486012141866</v>
      </c>
      <c r="M267" s="306">
        <f t="shared" ca="1" si="132"/>
        <v>1.2373356851338058</v>
      </c>
      <c r="N267" s="304">
        <f t="shared" ca="1" si="133"/>
        <v>70.894112599095195</v>
      </c>
      <c r="P267" s="310">
        <f t="shared" ca="1" si="134"/>
        <v>23</v>
      </c>
      <c r="Q267" s="304">
        <f t="shared" ca="1" si="135"/>
        <v>0</v>
      </c>
      <c r="R267" s="306">
        <f t="shared" ca="1" si="136"/>
        <v>0</v>
      </c>
      <c r="S267" s="307">
        <f t="shared" ca="1" si="137"/>
        <v>7.9769999999999968</v>
      </c>
      <c r="T267" s="304">
        <f t="shared" ca="1" si="117"/>
        <v>78.254369999999966</v>
      </c>
      <c r="U267" s="311">
        <f t="shared" ca="1" si="118"/>
        <v>0</v>
      </c>
      <c r="V267" s="306">
        <f t="shared" ca="1" si="119"/>
        <v>1.1029554193850779</v>
      </c>
      <c r="W267" s="304">
        <f t="shared" ca="1" si="120"/>
        <v>24.198258169427589</v>
      </c>
      <c r="Y267" s="314" t="str">
        <f t="shared" ca="1" si="138"/>
        <v/>
      </c>
      <c r="Z267" s="315" t="str">
        <f t="shared" ca="1" si="139"/>
        <v/>
      </c>
      <c r="AA267" s="316" t="str">
        <f t="shared" ca="1" si="140"/>
        <v/>
      </c>
      <c r="AC267" s="310" t="e">
        <f t="shared" ca="1" si="141"/>
        <v>#N/A</v>
      </c>
      <c r="AD267" s="323" t="e">
        <f t="shared" ca="1" si="142"/>
        <v>#N/A</v>
      </c>
      <c r="AE267" s="324">
        <f t="shared" ca="1" si="121"/>
        <v>1048.5130393704849</v>
      </c>
      <c r="AG267" s="306">
        <f t="shared" ca="1" si="143"/>
        <v>-12.411045302550134</v>
      </c>
      <c r="AH267" s="304">
        <f t="shared" ca="1" si="144"/>
        <v>-3.1289881097482759</v>
      </c>
    </row>
    <row r="268" spans="1:34" x14ac:dyDescent="0.2">
      <c r="A268" s="347">
        <f t="shared" ca="1" si="122"/>
        <v>0.1</v>
      </c>
      <c r="B268" s="304">
        <f t="shared" ca="1" si="123"/>
        <v>8.3999999999999879</v>
      </c>
      <c r="D268" s="306">
        <f t="shared" ca="1" si="124"/>
        <v>-0.99291121380630165</v>
      </c>
      <c r="E268" s="307">
        <f t="shared" ca="1" si="125"/>
        <v>-12.676403910194228</v>
      </c>
      <c r="F268" s="304">
        <f t="shared" ca="1" si="126"/>
        <v>12.715230582765294</v>
      </c>
      <c r="G268" s="306">
        <f t="shared" ca="1" si="127"/>
        <v>26.576183720634006</v>
      </c>
      <c r="H268" s="307">
        <f t="shared" ca="1" si="128"/>
        <v>75.740942380768004</v>
      </c>
      <c r="I268" s="304">
        <f t="shared" ca="1" si="129"/>
        <v>80.268199767278389</v>
      </c>
      <c r="J268" s="306">
        <f t="shared" ca="1" si="130"/>
        <v>251.55395274428588</v>
      </c>
      <c r="K268" s="307">
        <f t="shared" ca="1" si="131"/>
        <v>1056.1505156281125</v>
      </c>
      <c r="L268" s="304">
        <f t="shared" ca="1" si="116"/>
        <v>1085.6948479212761</v>
      </c>
      <c r="M268" s="306">
        <f t="shared" ca="1" si="132"/>
        <v>1.2333353852959583</v>
      </c>
      <c r="N268" s="304">
        <f t="shared" ca="1" si="133"/>
        <v>70.664912301599657</v>
      </c>
      <c r="P268" s="310">
        <f t="shared" ca="1" si="134"/>
        <v>23</v>
      </c>
      <c r="Q268" s="304">
        <f t="shared" ca="1" si="135"/>
        <v>0</v>
      </c>
      <c r="R268" s="306">
        <f t="shared" ca="1" si="136"/>
        <v>0</v>
      </c>
      <c r="S268" s="307">
        <f t="shared" ca="1" si="137"/>
        <v>7.9769999999999968</v>
      </c>
      <c r="T268" s="304">
        <f t="shared" ca="1" si="117"/>
        <v>78.254369999999966</v>
      </c>
      <c r="U268" s="311">
        <f t="shared" ca="1" si="118"/>
        <v>0</v>
      </c>
      <c r="V268" s="306">
        <f t="shared" ca="1" si="119"/>
        <v>1.1021110245736345</v>
      </c>
      <c r="W268" s="304">
        <f t="shared" ca="1" si="120"/>
        <v>23.455571822761485</v>
      </c>
      <c r="Y268" s="314" t="str">
        <f t="shared" ca="1" si="138"/>
        <v/>
      </c>
      <c r="Z268" s="315" t="str">
        <f t="shared" ca="1" si="139"/>
        <v/>
      </c>
      <c r="AA268" s="316" t="str">
        <f t="shared" ca="1" si="140"/>
        <v/>
      </c>
      <c r="AC268" s="310" t="e">
        <f t="shared" ca="1" si="141"/>
        <v>#N/A</v>
      </c>
      <c r="AD268" s="323" t="e">
        <f t="shared" ca="1" si="142"/>
        <v>#N/A</v>
      </c>
      <c r="AE268" s="324">
        <f t="shared" ca="1" si="121"/>
        <v>1056.1505156281125</v>
      </c>
      <c r="AG268" s="306">
        <f t="shared" ca="1" si="143"/>
        <v>-12.303122530517182</v>
      </c>
      <c r="AH268" s="304">
        <f t="shared" ca="1" si="144"/>
        <v>-3.0335035940112323</v>
      </c>
    </row>
    <row r="269" spans="1:34" x14ac:dyDescent="0.2">
      <c r="A269" s="347">
        <f t="shared" ca="1" si="122"/>
        <v>0.1</v>
      </c>
      <c r="B269" s="304">
        <f t="shared" ca="1" si="123"/>
        <v>8.4999999999999876</v>
      </c>
      <c r="D269" s="306">
        <f t="shared" ca="1" si="124"/>
        <v>-0.97354387224517891</v>
      </c>
      <c r="E269" s="307">
        <f t="shared" ca="1" si="125"/>
        <v>-12.584556765109268</v>
      </c>
      <c r="F269" s="304">
        <f t="shared" ca="1" si="126"/>
        <v>12.622157368906617</v>
      </c>
      <c r="G269" s="306">
        <f t="shared" ca="1" si="127"/>
        <v>26.47882933340949</v>
      </c>
      <c r="H269" s="307">
        <f t="shared" ca="1" si="128"/>
        <v>74.48248670425707</v>
      </c>
      <c r="I269" s="304">
        <f t="shared" ca="1" si="129"/>
        <v>79.049157038627925</v>
      </c>
      <c r="J269" s="306">
        <f t="shared" ca="1" si="130"/>
        <v>254.20670339698805</v>
      </c>
      <c r="K269" s="307">
        <f t="shared" ca="1" si="131"/>
        <v>1063.6616870823639</v>
      </c>
      <c r="L269" s="304">
        <f t="shared" ca="1" si="116"/>
        <v>1093.6165839172634</v>
      </c>
      <c r="M269" s="306">
        <f t="shared" ca="1" si="132"/>
        <v>1.229226518323858</v>
      </c>
      <c r="N269" s="304">
        <f t="shared" ca="1" si="133"/>
        <v>70.429491565517608</v>
      </c>
      <c r="P269" s="310">
        <f t="shared" ca="1" si="134"/>
        <v>23</v>
      </c>
      <c r="Q269" s="304">
        <f t="shared" ca="1" si="135"/>
        <v>0</v>
      </c>
      <c r="R269" s="306">
        <f t="shared" ca="1" si="136"/>
        <v>0</v>
      </c>
      <c r="S269" s="307">
        <f t="shared" ca="1" si="137"/>
        <v>7.9769999999999968</v>
      </c>
      <c r="T269" s="304">
        <f t="shared" ca="1" si="117"/>
        <v>78.254369999999966</v>
      </c>
      <c r="U269" s="311">
        <f t="shared" ca="1" si="118"/>
        <v>0</v>
      </c>
      <c r="V269" s="306">
        <f t="shared" ca="1" si="119"/>
        <v>1.1012811911781728</v>
      </c>
      <c r="W269" s="304">
        <f t="shared" ca="1" si="120"/>
        <v>22.731408192764153</v>
      </c>
      <c r="Y269" s="314" t="str">
        <f t="shared" ca="1" si="138"/>
        <v/>
      </c>
      <c r="Z269" s="315" t="str">
        <f t="shared" ca="1" si="139"/>
        <v/>
      </c>
      <c r="AA269" s="316" t="str">
        <f t="shared" ca="1" si="140"/>
        <v/>
      </c>
      <c r="AC269" s="310" t="e">
        <f t="shared" ca="1" si="141"/>
        <v>#N/A</v>
      </c>
      <c r="AD269" s="323" t="e">
        <f t="shared" ca="1" si="142"/>
        <v>#N/A</v>
      </c>
      <c r="AE269" s="324">
        <f t="shared" ca="1" si="121"/>
        <v>1063.6616870823639</v>
      </c>
      <c r="AG269" s="306">
        <f t="shared" ca="1" si="143"/>
        <v>-12.197100127834673</v>
      </c>
      <c r="AH269" s="304">
        <f t="shared" ca="1" si="144"/>
        <v>-2.9404001282138013</v>
      </c>
    </row>
    <row r="270" spans="1:34" x14ac:dyDescent="0.2">
      <c r="A270" s="347">
        <f t="shared" ca="1" si="122"/>
        <v>0.1</v>
      </c>
      <c r="B270" s="304">
        <f t="shared" ca="1" si="123"/>
        <v>8.5999999999999872</v>
      </c>
      <c r="D270" s="306">
        <f t="shared" ca="1" si="124"/>
        <v>-0.95452715071631522</v>
      </c>
      <c r="E270" s="307">
        <f t="shared" ca="1" si="125"/>
        <v>-12.494996187591118</v>
      </c>
      <c r="F270" s="304">
        <f t="shared" ca="1" si="126"/>
        <v>12.531402627374606</v>
      </c>
      <c r="G270" s="306">
        <f t="shared" ca="1" si="127"/>
        <v>26.383376618337859</v>
      </c>
      <c r="H270" s="307">
        <f t="shared" ca="1" si="128"/>
        <v>73.232987085497953</v>
      </c>
      <c r="I270" s="304">
        <f t="shared" ca="1" si="129"/>
        <v>77.840561144237441</v>
      </c>
      <c r="J270" s="306">
        <f t="shared" ca="1" si="130"/>
        <v>256.8498136945754</v>
      </c>
      <c r="K270" s="307">
        <f t="shared" ca="1" si="131"/>
        <v>1071.0474607718515</v>
      </c>
      <c r="L270" s="304">
        <f t="shared" ca="1" si="116"/>
        <v>1101.414767478977</v>
      </c>
      <c r="M270" s="306">
        <f t="shared" ca="1" si="132"/>
        <v>1.2250050272376072</v>
      </c>
      <c r="N270" s="304">
        <f t="shared" ca="1" si="133"/>
        <v>70.187617943023341</v>
      </c>
      <c r="P270" s="310">
        <f t="shared" ca="1" si="134"/>
        <v>23</v>
      </c>
      <c r="Q270" s="304">
        <f t="shared" ca="1" si="135"/>
        <v>0</v>
      </c>
      <c r="R270" s="306">
        <f t="shared" ca="1" si="136"/>
        <v>0</v>
      </c>
      <c r="S270" s="307">
        <f t="shared" ca="1" si="137"/>
        <v>7.9769999999999968</v>
      </c>
      <c r="T270" s="304">
        <f t="shared" ca="1" si="117"/>
        <v>78.254369999999966</v>
      </c>
      <c r="U270" s="311">
        <f t="shared" ca="1" si="118"/>
        <v>0</v>
      </c>
      <c r="V270" s="306">
        <f t="shared" ca="1" si="119"/>
        <v>1.1004657886003875</v>
      </c>
      <c r="W270" s="304">
        <f t="shared" ca="1" si="120"/>
        <v>22.02531328413145</v>
      </c>
      <c r="Y270" s="314" t="str">
        <f t="shared" ca="1" si="138"/>
        <v/>
      </c>
      <c r="Z270" s="315" t="str">
        <f t="shared" ca="1" si="139"/>
        <v/>
      </c>
      <c r="AA270" s="316" t="str">
        <f t="shared" ca="1" si="140"/>
        <v/>
      </c>
      <c r="AC270" s="310" t="e">
        <f t="shared" ca="1" si="141"/>
        <v>#N/A</v>
      </c>
      <c r="AD270" s="323" t="e">
        <f t="shared" ca="1" si="142"/>
        <v>#N/A</v>
      </c>
      <c r="AE270" s="324">
        <f t="shared" ca="1" si="121"/>
        <v>1071.0474607718515</v>
      </c>
      <c r="AG270" s="306">
        <f t="shared" ca="1" si="143"/>
        <v>-12.092894911742039</v>
      </c>
      <c r="AH270" s="304">
        <f t="shared" ca="1" si="144"/>
        <v>-2.8496186777941785</v>
      </c>
    </row>
    <row r="271" spans="1:34" x14ac:dyDescent="0.2">
      <c r="A271" s="347">
        <f t="shared" ca="1" si="122"/>
        <v>0.1</v>
      </c>
      <c r="B271" s="304">
        <f t="shared" ca="1" si="123"/>
        <v>8.6999999999999869</v>
      </c>
      <c r="D271" s="306">
        <f t="shared" ca="1" si="124"/>
        <v>-0.93585145810600279</v>
      </c>
      <c r="E271" s="307">
        <f t="shared" ca="1" si="125"/>
        <v>-12.407665899132324</v>
      </c>
      <c r="F271" s="304">
        <f t="shared" ca="1" si="126"/>
        <v>12.442909266571474</v>
      </c>
      <c r="G271" s="306">
        <f t="shared" ca="1" si="127"/>
        <v>26.289791472527259</v>
      </c>
      <c r="H271" s="307">
        <f t="shared" ca="1" si="128"/>
        <v>71.992220495584718</v>
      </c>
      <c r="I271" s="304">
        <f t="shared" ca="1" si="129"/>
        <v>76.642239969574575</v>
      </c>
      <c r="J271" s="306">
        <f t="shared" ca="1" si="130"/>
        <v>259.48347209911867</v>
      </c>
      <c r="K271" s="307">
        <f t="shared" ca="1" si="131"/>
        <v>1078.3087211509057</v>
      </c>
      <c r="L271" s="304">
        <f t="shared" ca="1" si="116"/>
        <v>1109.0903346448908</v>
      </c>
      <c r="M271" s="306">
        <f t="shared" ca="1" si="132"/>
        <v>1.2206666571246703</v>
      </c>
      <c r="N271" s="304">
        <f t="shared" ca="1" si="133"/>
        <v>69.939047645586371</v>
      </c>
      <c r="P271" s="310">
        <f t="shared" ca="1" si="134"/>
        <v>23</v>
      </c>
      <c r="Q271" s="304">
        <f t="shared" ca="1" si="135"/>
        <v>0</v>
      </c>
      <c r="R271" s="306">
        <f t="shared" ca="1" si="136"/>
        <v>0</v>
      </c>
      <c r="S271" s="307">
        <f t="shared" ca="1" si="137"/>
        <v>7.9769999999999968</v>
      </c>
      <c r="T271" s="304">
        <f t="shared" ca="1" si="117"/>
        <v>78.254369999999966</v>
      </c>
      <c r="U271" s="311">
        <f t="shared" ca="1" si="118"/>
        <v>0</v>
      </c>
      <c r="V271" s="306">
        <f t="shared" ca="1" si="119"/>
        <v>1.0996646895740378</v>
      </c>
      <c r="W271" s="304">
        <f t="shared" ca="1" si="120"/>
        <v>21.336849347175956</v>
      </c>
      <c r="Y271" s="314" t="str">
        <f t="shared" ca="1" si="138"/>
        <v/>
      </c>
      <c r="Z271" s="315" t="str">
        <f t="shared" ca="1" si="139"/>
        <v/>
      </c>
      <c r="AA271" s="316" t="str">
        <f t="shared" ca="1" si="140"/>
        <v/>
      </c>
      <c r="AC271" s="310" t="e">
        <f t="shared" ca="1" si="141"/>
        <v>#N/A</v>
      </c>
      <c r="AD271" s="323" t="e">
        <f t="shared" ca="1" si="142"/>
        <v>#N/A</v>
      </c>
      <c r="AE271" s="324">
        <f t="shared" ca="1" si="121"/>
        <v>1078.3087211509057</v>
      </c>
      <c r="AG271" s="306">
        <f t="shared" ca="1" si="143"/>
        <v>-11.990424327760101</v>
      </c>
      <c r="AH271" s="304">
        <f t="shared" ca="1" si="144"/>
        <v>-2.7611023297143613</v>
      </c>
    </row>
    <row r="272" spans="1:34" x14ac:dyDescent="0.2">
      <c r="A272" s="347">
        <f t="shared" ca="1" si="122"/>
        <v>0.1</v>
      </c>
      <c r="B272" s="304">
        <f t="shared" ca="1" si="123"/>
        <v>8.7999999999999865</v>
      </c>
      <c r="D272" s="306">
        <f t="shared" ca="1" si="124"/>
        <v>-0.91750755920530858</v>
      </c>
      <c r="E272" s="307">
        <f t="shared" ca="1" si="125"/>
        <v>-12.322511617967754</v>
      </c>
      <c r="F272" s="304">
        <f t="shared" ca="1" si="126"/>
        <v>12.356622220337933</v>
      </c>
      <c r="G272" s="306">
        <f t="shared" ca="1" si="127"/>
        <v>26.198040716606727</v>
      </c>
      <c r="H272" s="307">
        <f t="shared" ca="1" si="128"/>
        <v>70.759969333787936</v>
      </c>
      <c r="I272" s="304">
        <f t="shared" ca="1" si="129"/>
        <v>75.454029696945895</v>
      </c>
      <c r="J272" s="306">
        <f t="shared" ca="1" si="130"/>
        <v>262.10786370857539</v>
      </c>
      <c r="K272" s="307">
        <f t="shared" ca="1" si="131"/>
        <v>1085.4463306423743</v>
      </c>
      <c r="L272" s="304">
        <f t="shared" ca="1" si="116"/>
        <v>1116.644199789202</v>
      </c>
      <c r="M272" s="306">
        <f t="shared" ca="1" si="132"/>
        <v>1.2162069436158496</v>
      </c>
      <c r="N272" s="304">
        <f t="shared" ca="1" si="133"/>
        <v>69.683524883693465</v>
      </c>
      <c r="P272" s="310">
        <f t="shared" ca="1" si="134"/>
        <v>23</v>
      </c>
      <c r="Q272" s="304">
        <f t="shared" ca="1" si="135"/>
        <v>0</v>
      </c>
      <c r="R272" s="306">
        <f t="shared" ca="1" si="136"/>
        <v>0</v>
      </c>
      <c r="S272" s="307">
        <f t="shared" ca="1" si="137"/>
        <v>7.9769999999999968</v>
      </c>
      <c r="T272" s="304">
        <f t="shared" ca="1" si="117"/>
        <v>78.254369999999966</v>
      </c>
      <c r="U272" s="311">
        <f t="shared" ca="1" si="118"/>
        <v>0</v>
      </c>
      <c r="V272" s="306">
        <f t="shared" ca="1" si="119"/>
        <v>1.0988777700802506</v>
      </c>
      <c r="W272" s="304">
        <f t="shared" ca="1" si="120"/>
        <v>20.665594232749729</v>
      </c>
      <c r="Y272" s="314" t="str">
        <f t="shared" ca="1" si="138"/>
        <v/>
      </c>
      <c r="Z272" s="315" t="str">
        <f t="shared" ca="1" si="139"/>
        <v/>
      </c>
      <c r="AA272" s="316" t="str">
        <f t="shared" ca="1" si="140"/>
        <v/>
      </c>
      <c r="AC272" s="310" t="e">
        <f t="shared" ca="1" si="141"/>
        <v>#N/A</v>
      </c>
      <c r="AD272" s="323" t="e">
        <f t="shared" ca="1" si="142"/>
        <v>#N/A</v>
      </c>
      <c r="AE272" s="324">
        <f t="shared" ca="1" si="121"/>
        <v>1085.4463306423743</v>
      </c>
      <c r="AG272" s="306">
        <f t="shared" ca="1" si="143"/>
        <v>-11.889606256652471</v>
      </c>
      <c r="AH272" s="304">
        <f t="shared" ca="1" si="144"/>
        <v>-2.6747962074935394</v>
      </c>
    </row>
    <row r="273" spans="1:34" x14ac:dyDescent="0.2">
      <c r="A273" s="347">
        <f t="shared" ca="1" si="122"/>
        <v>0.1</v>
      </c>
      <c r="B273" s="304">
        <f t="shared" ca="1" si="123"/>
        <v>8.8999999999999861</v>
      </c>
      <c r="D273" s="306">
        <f t="shared" ca="1" si="124"/>
        <v>-0.89948656270733551</v>
      </c>
      <c r="E273" s="307">
        <f t="shared" ca="1" si="125"/>
        <v>-12.239480978437433</v>
      </c>
      <c r="F273" s="304">
        <f t="shared" ca="1" si="126"/>
        <v>12.272488366179974</v>
      </c>
      <c r="G273" s="306">
        <f t="shared" ca="1" si="127"/>
        <v>26.108092060335991</v>
      </c>
      <c r="H273" s="307">
        <f t="shared" ca="1" si="128"/>
        <v>69.53602123594419</v>
      </c>
      <c r="I273" s="304">
        <f t="shared" ca="1" si="129"/>
        <v>74.275774787993029</v>
      </c>
      <c r="J273" s="306">
        <f t="shared" ca="1" si="130"/>
        <v>264.72317034742252</v>
      </c>
      <c r="K273" s="307">
        <f t="shared" ca="1" si="131"/>
        <v>1092.461130170861</v>
      </c>
      <c r="L273" s="304">
        <f t="shared" ca="1" si="116"/>
        <v>1124.0772561763649</v>
      </c>
      <c r="M273" s="306">
        <f t="shared" ca="1" si="132"/>
        <v>1.2116212006041016</v>
      </c>
      <c r="N273" s="304">
        <f t="shared" ca="1" si="133"/>
        <v>69.420781163188693</v>
      </c>
      <c r="P273" s="310">
        <f t="shared" ca="1" si="134"/>
        <v>23</v>
      </c>
      <c r="Q273" s="304">
        <f t="shared" ca="1" si="135"/>
        <v>0</v>
      </c>
      <c r="R273" s="306">
        <f t="shared" ca="1" si="136"/>
        <v>0</v>
      </c>
      <c r="S273" s="307">
        <f t="shared" ca="1" si="137"/>
        <v>7.9769999999999968</v>
      </c>
      <c r="T273" s="304">
        <f t="shared" ca="1" si="117"/>
        <v>78.254369999999966</v>
      </c>
      <c r="U273" s="311">
        <f t="shared" ca="1" si="118"/>
        <v>0</v>
      </c>
      <c r="V273" s="306">
        <f t="shared" ca="1" si="119"/>
        <v>1.0981049092658954</v>
      </c>
      <c r="W273" s="304">
        <f t="shared" ca="1" si="120"/>
        <v>20.011140778099357</v>
      </c>
      <c r="Y273" s="314" t="str">
        <f t="shared" ca="1" si="138"/>
        <v/>
      </c>
      <c r="Z273" s="315" t="str">
        <f t="shared" ca="1" si="139"/>
        <v/>
      </c>
      <c r="AA273" s="316" t="str">
        <f t="shared" ca="1" si="140"/>
        <v/>
      </c>
      <c r="AC273" s="310" t="e">
        <f t="shared" ca="1" si="141"/>
        <v>#N/A</v>
      </c>
      <c r="AD273" s="323" t="e">
        <f t="shared" ca="1" si="142"/>
        <v>#N/A</v>
      </c>
      <c r="AE273" s="324">
        <f t="shared" ca="1" si="121"/>
        <v>1092.461130170861</v>
      </c>
      <c r="AG273" s="306">
        <f t="shared" ca="1" si="143"/>
        <v>-11.790358816655353</v>
      </c>
      <c r="AH273" s="304">
        <f t="shared" ca="1" si="144"/>
        <v>-2.5906473903409473</v>
      </c>
    </row>
    <row r="274" spans="1:34" x14ac:dyDescent="0.2">
      <c r="A274" s="347">
        <f t="shared" ca="1" si="122"/>
        <v>0.1</v>
      </c>
      <c r="B274" s="304">
        <f t="shared" ca="1" si="123"/>
        <v>8.9999999999999858</v>
      </c>
      <c r="D274" s="306">
        <f t="shared" ca="1" si="124"/>
        <v>-0.88177990997172262</v>
      </c>
      <c r="E274" s="307">
        <f t="shared" ca="1" si="125"/>
        <v>-12.158523454089337</v>
      </c>
      <c r="F274" s="304">
        <f t="shared" ca="1" si="126"/>
        <v>12.190456447289833</v>
      </c>
      <c r="G274" s="306">
        <f t="shared" ca="1" si="127"/>
        <v>26.019914069338817</v>
      </c>
      <c r="H274" s="307">
        <f t="shared" ca="1" si="128"/>
        <v>68.320168890535257</v>
      </c>
      <c r="I274" s="304">
        <f t="shared" ca="1" si="129"/>
        <v>73.107327987056394</v>
      </c>
      <c r="J274" s="306">
        <f t="shared" ca="1" si="130"/>
        <v>267.32957065390627</v>
      </c>
      <c r="K274" s="307">
        <f t="shared" ca="1" si="131"/>
        <v>1099.3539396771851</v>
      </c>
      <c r="L274" s="304">
        <f t="shared" ca="1" si="116"/>
        <v>1131.3903764968791</v>
      </c>
      <c r="M274" s="306">
        <f t="shared" ca="1" si="132"/>
        <v>1.2069045071538358</v>
      </c>
      <c r="N274" s="304">
        <f t="shared" ca="1" si="133"/>
        <v>69.150534535231458</v>
      </c>
      <c r="P274" s="310">
        <f t="shared" ca="1" si="134"/>
        <v>23</v>
      </c>
      <c r="Q274" s="304">
        <f t="shared" ca="1" si="135"/>
        <v>0</v>
      </c>
      <c r="R274" s="306">
        <f t="shared" ca="1" si="136"/>
        <v>0</v>
      </c>
      <c r="S274" s="307">
        <f t="shared" ca="1" si="137"/>
        <v>7.9769999999999968</v>
      </c>
      <c r="T274" s="304">
        <f t="shared" ca="1" si="117"/>
        <v>78.254369999999966</v>
      </c>
      <c r="U274" s="311">
        <f t="shared" ca="1" si="118"/>
        <v>0</v>
      </c>
      <c r="V274" s="306">
        <f t="shared" ca="1" si="119"/>
        <v>1.0973459893649089</v>
      </c>
      <c r="W274" s="304">
        <f t="shared" ca="1" si="120"/>
        <v>19.373096221992093</v>
      </c>
      <c r="Y274" s="314" t="str">
        <f t="shared" ca="1" si="138"/>
        <v/>
      </c>
      <c r="Z274" s="315" t="str">
        <f t="shared" ca="1" si="139"/>
        <v/>
      </c>
      <c r="AA274" s="316" t="str">
        <f t="shared" ca="1" si="140"/>
        <v/>
      </c>
      <c r="AC274" s="310">
        <f t="shared" ca="1" si="141"/>
        <v>8.9999999999999858</v>
      </c>
      <c r="AD274" s="323">
        <f t="shared" ca="1" si="142"/>
        <v>267.32957065390627</v>
      </c>
      <c r="AE274" s="324">
        <f t="shared" ca="1" si="121"/>
        <v>1099.3539396771851</v>
      </c>
      <c r="AG274" s="306">
        <f t="shared" ca="1" si="143"/>
        <v>-11.69260015996724</v>
      </c>
      <c r="AH274" s="304">
        <f t="shared" ca="1" si="144"/>
        <v>-2.5086048361663988</v>
      </c>
    </row>
    <row r="275" spans="1:34" x14ac:dyDescent="0.2">
      <c r="A275" s="347">
        <f t="shared" ca="1" si="122"/>
        <v>0.1</v>
      </c>
      <c r="B275" s="304">
        <f t="shared" ca="1" si="123"/>
        <v>9.0999999999999854</v>
      </c>
      <c r="D275" s="306">
        <f t="shared" ca="1" si="124"/>
        <v>-0.86437936453179143</v>
      </c>
      <c r="E275" s="307">
        <f t="shared" ca="1" si="125"/>
        <v>-12.079590284308198</v>
      </c>
      <c r="F275" s="304">
        <f t="shared" ca="1" si="126"/>
        <v>12.110476998144268</v>
      </c>
      <c r="G275" s="306">
        <f t="shared" ca="1" si="127"/>
        <v>25.933476132885637</v>
      </c>
      <c r="H275" s="307">
        <f t="shared" ca="1" si="128"/>
        <v>67.112209862104436</v>
      </c>
      <c r="I275" s="304">
        <f t="shared" ca="1" si="129"/>
        <v>71.94855034613343</v>
      </c>
      <c r="J275" s="306">
        <f t="shared" ca="1" si="130"/>
        <v>269.92724016401752</v>
      </c>
      <c r="K275" s="307">
        <f t="shared" ca="1" si="131"/>
        <v>1106.125558614817</v>
      </c>
      <c r="L275" s="304">
        <f t="shared" ca="1" si="116"/>
        <v>1138.5844133851051</v>
      </c>
      <c r="M275" s="306">
        <f t="shared" ca="1" si="132"/>
        <v>1.2020516935449779</v>
      </c>
      <c r="N275" s="304">
        <f t="shared" ca="1" si="133"/>
        <v>68.872488796680258</v>
      </c>
      <c r="P275" s="310">
        <f t="shared" ca="1" si="134"/>
        <v>23</v>
      </c>
      <c r="Q275" s="304">
        <f t="shared" ca="1" si="135"/>
        <v>0</v>
      </c>
      <c r="R275" s="306">
        <f t="shared" ca="1" si="136"/>
        <v>0</v>
      </c>
      <c r="S275" s="307">
        <f t="shared" ca="1" si="137"/>
        <v>7.9769999999999968</v>
      </c>
      <c r="T275" s="304">
        <f t="shared" ca="1" si="117"/>
        <v>78.254369999999966</v>
      </c>
      <c r="U275" s="311">
        <f t="shared" ca="1" si="118"/>
        <v>0</v>
      </c>
      <c r="V275" s="306">
        <f t="shared" ca="1" si="119"/>
        <v>1.096600895622448</v>
      </c>
      <c r="W275" s="304">
        <f t="shared" ca="1" si="120"/>
        <v>18.751081647551931</v>
      </c>
      <c r="Y275" s="314" t="str">
        <f t="shared" ca="1" si="138"/>
        <v/>
      </c>
      <c r="Z275" s="315" t="str">
        <f t="shared" ca="1" si="139"/>
        <v/>
      </c>
      <c r="AA275" s="316" t="str">
        <f t="shared" ca="1" si="140"/>
        <v/>
      </c>
      <c r="AC275" s="310" t="e">
        <f t="shared" ca="1" si="141"/>
        <v>#N/A</v>
      </c>
      <c r="AD275" s="323" t="e">
        <f t="shared" ca="1" si="142"/>
        <v>#N/A</v>
      </c>
      <c r="AE275" s="324">
        <f t="shared" ca="1" si="121"/>
        <v>1106.125558614817</v>
      </c>
      <c r="AG275" s="306">
        <f t="shared" ca="1" si="143"/>
        <v>-11.596248262430398</v>
      </c>
      <c r="AH275" s="304">
        <f t="shared" ca="1" si="144"/>
        <v>-2.4286193082602607</v>
      </c>
    </row>
    <row r="276" spans="1:34" x14ac:dyDescent="0.2">
      <c r="A276" s="347">
        <f t="shared" ca="1" si="122"/>
        <v>0.1</v>
      </c>
      <c r="B276" s="304">
        <f t="shared" ca="1" si="123"/>
        <v>9.1999999999999851</v>
      </c>
      <c r="D276" s="306">
        <f t="shared" ca="1" si="124"/>
        <v>-0.84727700232277403</v>
      </c>
      <c r="E276" s="307">
        <f t="shared" ca="1" si="125"/>
        <v>-12.002634404267718</v>
      </c>
      <c r="F276" s="304">
        <f t="shared" ca="1" si="126"/>
        <v>12.032502273474798</v>
      </c>
      <c r="G276" s="306">
        <f t="shared" ca="1" si="127"/>
        <v>25.848748432653359</v>
      </c>
      <c r="H276" s="307">
        <f t="shared" ca="1" si="128"/>
        <v>65.911946421677669</v>
      </c>
      <c r="I276" s="304">
        <f t="shared" ca="1" si="129"/>
        <v>70.799311272276555</v>
      </c>
      <c r="J276" s="306">
        <f t="shared" ca="1" si="130"/>
        <v>272.5163513922945</v>
      </c>
      <c r="K276" s="307">
        <f t="shared" ca="1" si="131"/>
        <v>1112.7767664290061</v>
      </c>
      <c r="L276" s="304">
        <f t="shared" ca="1" si="116"/>
        <v>1145.6601999198381</v>
      </c>
      <c r="M276" s="306">
        <f t="shared" ca="1" si="132"/>
        <v>1.1970573263926341</v>
      </c>
      <c r="N276" s="304">
        <f t="shared" ca="1" si="133"/>
        <v>68.586332637512186</v>
      </c>
      <c r="P276" s="310">
        <f t="shared" ca="1" si="134"/>
        <v>23</v>
      </c>
      <c r="Q276" s="304">
        <f t="shared" ca="1" si="135"/>
        <v>0</v>
      </c>
      <c r="R276" s="306">
        <f t="shared" ca="1" si="136"/>
        <v>0</v>
      </c>
      <c r="S276" s="307">
        <f t="shared" ca="1" si="137"/>
        <v>7.9769999999999968</v>
      </c>
      <c r="T276" s="304">
        <f t="shared" ca="1" si="117"/>
        <v>78.254369999999966</v>
      </c>
      <c r="U276" s="311">
        <f t="shared" ca="1" si="118"/>
        <v>0</v>
      </c>
      <c r="V276" s="306">
        <f t="shared" ca="1" si="119"/>
        <v>1.0958695162217551</v>
      </c>
      <c r="W276" s="304">
        <f t="shared" ca="1" si="120"/>
        <v>18.144731451338316</v>
      </c>
      <c r="Y276" s="314" t="str">
        <f t="shared" ca="1" si="138"/>
        <v/>
      </c>
      <c r="Z276" s="315" t="str">
        <f t="shared" ca="1" si="139"/>
        <v/>
      </c>
      <c r="AA276" s="316" t="str">
        <f t="shared" ca="1" si="140"/>
        <v/>
      </c>
      <c r="AC276" s="310" t="e">
        <f t="shared" ca="1" si="141"/>
        <v>#N/A</v>
      </c>
      <c r="AD276" s="323" t="e">
        <f t="shared" ca="1" si="142"/>
        <v>#N/A</v>
      </c>
      <c r="AE276" s="324">
        <f t="shared" ca="1" si="121"/>
        <v>1112.7767664290061</v>
      </c>
      <c r="AG276" s="306">
        <f t="shared" ca="1" si="143"/>
        <v>-11.501220705268604</v>
      </c>
      <c r="AH276" s="304">
        <f t="shared" ca="1" si="144"/>
        <v>-2.3506433054471527</v>
      </c>
    </row>
    <row r="277" spans="1:34" x14ac:dyDescent="0.2">
      <c r="A277" s="347">
        <f t="shared" ca="1" si="122"/>
        <v>0.1</v>
      </c>
      <c r="B277" s="304">
        <f t="shared" ca="1" si="123"/>
        <v>9.2999999999999847</v>
      </c>
      <c r="D277" s="306">
        <f t="shared" ca="1" si="124"/>
        <v>-0.83046520261249568</v>
      </c>
      <c r="E277" s="307">
        <f t="shared" ca="1" si="125"/>
        <v>-11.927610378014101</v>
      </c>
      <c r="F277" s="304">
        <f t="shared" ca="1" si="126"/>
        <v>11.956486180415212</v>
      </c>
      <c r="G277" s="306">
        <f t="shared" ca="1" si="127"/>
        <v>25.76570191239211</v>
      </c>
      <c r="H277" s="307">
        <f t="shared" ca="1" si="128"/>
        <v>64.719185383876265</v>
      </c>
      <c r="I277" s="304">
        <f t="shared" ca="1" si="129"/>
        <v>69.659488598401225</v>
      </c>
      <c r="J277" s="306">
        <f t="shared" ca="1" si="130"/>
        <v>275.09707390954679</v>
      </c>
      <c r="K277" s="307">
        <f t="shared" ca="1" si="131"/>
        <v>1119.3083230192838</v>
      </c>
      <c r="L277" s="304">
        <f t="shared" ca="1" si="116"/>
        <v>1152.618550108333</v>
      </c>
      <c r="M277" s="306">
        <f t="shared" ca="1" si="132"/>
        <v>1.191915692779645</v>
      </c>
      <c r="N277" s="304">
        <f t="shared" ca="1" si="133"/>
        <v>68.291738731685314</v>
      </c>
      <c r="P277" s="310">
        <f t="shared" ca="1" si="134"/>
        <v>23</v>
      </c>
      <c r="Q277" s="304">
        <f t="shared" ca="1" si="135"/>
        <v>0</v>
      </c>
      <c r="R277" s="306">
        <f t="shared" ca="1" si="136"/>
        <v>0</v>
      </c>
      <c r="S277" s="307">
        <f t="shared" ca="1" si="137"/>
        <v>7.9769999999999968</v>
      </c>
      <c r="T277" s="304">
        <f t="shared" ca="1" si="117"/>
        <v>78.254369999999966</v>
      </c>
      <c r="U277" s="311">
        <f t="shared" ca="1" si="118"/>
        <v>0</v>
      </c>
      <c r="V277" s="306">
        <f t="shared" ca="1" si="119"/>
        <v>1.0951517422136299</v>
      </c>
      <c r="W277" s="304">
        <f t="shared" ca="1" si="120"/>
        <v>17.553692837287247</v>
      </c>
      <c r="Y277" s="314" t="str">
        <f t="shared" ca="1" si="138"/>
        <v/>
      </c>
      <c r="Z277" s="315" t="str">
        <f t="shared" ca="1" si="139"/>
        <v/>
      </c>
      <c r="AA277" s="316" t="str">
        <f t="shared" ca="1" si="140"/>
        <v/>
      </c>
      <c r="AC277" s="310" t="e">
        <f t="shared" ca="1" si="141"/>
        <v>#N/A</v>
      </c>
      <c r="AD277" s="323" t="e">
        <f t="shared" ca="1" si="142"/>
        <v>#N/A</v>
      </c>
      <c r="AE277" s="324">
        <f t="shared" ca="1" si="121"/>
        <v>1119.3083230192838</v>
      </c>
      <c r="AG277" s="306">
        <f t="shared" ca="1" si="143"/>
        <v>-11.407434447670514</v>
      </c>
      <c r="AH277" s="304">
        <f t="shared" ca="1" si="144"/>
        <v>-2.2746309955294377</v>
      </c>
    </row>
    <row r="278" spans="1:34" x14ac:dyDescent="0.2">
      <c r="A278" s="347">
        <f t="shared" ca="1" si="122"/>
        <v>0.1</v>
      </c>
      <c r="B278" s="304">
        <f t="shared" ca="1" si="123"/>
        <v>9.3999999999999844</v>
      </c>
      <c r="D278" s="306">
        <f t="shared" ca="1" si="124"/>
        <v>-0.81393663961881901</v>
      </c>
      <c r="E278" s="307">
        <f t="shared" ca="1" si="125"/>
        <v>-11.854474334498308</v>
      </c>
      <c r="F278" s="304">
        <f t="shared" ca="1" si="126"/>
        <v>11.882384213641346</v>
      </c>
      <c r="G278" s="306">
        <f t="shared" ca="1" si="127"/>
        <v>25.684308248430227</v>
      </c>
      <c r="H278" s="307">
        <f t="shared" ca="1" si="128"/>
        <v>63.533737950426435</v>
      </c>
      <c r="I278" s="304">
        <f t="shared" ca="1" si="129"/>
        <v>68.528968678609473</v>
      </c>
      <c r="J278" s="306">
        <f t="shared" ca="1" si="130"/>
        <v>277.66957441758791</v>
      </c>
      <c r="K278" s="307">
        <f t="shared" ca="1" si="131"/>
        <v>1125.7209691859989</v>
      </c>
      <c r="L278" s="304">
        <f t="shared" ca="1" si="116"/>
        <v>1159.4602593544589</v>
      </c>
      <c r="M278" s="306">
        <f t="shared" ca="1" si="132"/>
        <v>1.1866207833357454</v>
      </c>
      <c r="N278" s="304">
        <f t="shared" ca="1" si="133"/>
        <v>67.988362767645896</v>
      </c>
      <c r="P278" s="310">
        <f t="shared" ca="1" si="134"/>
        <v>23</v>
      </c>
      <c r="Q278" s="304">
        <f t="shared" ca="1" si="135"/>
        <v>0</v>
      </c>
      <c r="R278" s="306">
        <f t="shared" ca="1" si="136"/>
        <v>0</v>
      </c>
      <c r="S278" s="307">
        <f t="shared" ca="1" si="137"/>
        <v>7.9769999999999968</v>
      </c>
      <c r="T278" s="304">
        <f t="shared" ca="1" si="117"/>
        <v>78.254369999999966</v>
      </c>
      <c r="U278" s="311">
        <f t="shared" ca="1" si="118"/>
        <v>0</v>
      </c>
      <c r="V278" s="306">
        <f t="shared" ca="1" si="119"/>
        <v>1.094447467448399</v>
      </c>
      <c r="W278" s="304">
        <f t="shared" ca="1" si="120"/>
        <v>16.977625334216356</v>
      </c>
      <c r="Y278" s="314" t="str">
        <f t="shared" ca="1" si="138"/>
        <v/>
      </c>
      <c r="Z278" s="315" t="str">
        <f t="shared" ca="1" si="139"/>
        <v/>
      </c>
      <c r="AA278" s="316" t="str">
        <f t="shared" ca="1" si="140"/>
        <v/>
      </c>
      <c r="AC278" s="310" t="e">
        <f t="shared" ca="1" si="141"/>
        <v>#N/A</v>
      </c>
      <c r="AD278" s="323" t="e">
        <f t="shared" ca="1" si="142"/>
        <v>#N/A</v>
      </c>
      <c r="AE278" s="324">
        <f t="shared" ca="1" si="121"/>
        <v>1125.7209691859989</v>
      </c>
      <c r="AG278" s="306">
        <f t="shared" ca="1" si="143"/>
        <v>-11.3148055889242</v>
      </c>
      <c r="AH278" s="304">
        <f t="shared" ca="1" si="144"/>
        <v>-2.2005381518474683</v>
      </c>
    </row>
    <row r="279" spans="1:34" x14ac:dyDescent="0.2">
      <c r="A279" s="347">
        <f t="shared" ca="1" si="122"/>
        <v>0.1</v>
      </c>
      <c r="B279" s="304">
        <f t="shared" ca="1" si="123"/>
        <v>9.499999999999984</v>
      </c>
      <c r="D279" s="306">
        <f t="shared" ca="1" si="124"/>
        <v>-0.79768427480105497</v>
      </c>
      <c r="E279" s="307">
        <f t="shared" ca="1" si="125"/>
        <v>-11.783183906383137</v>
      </c>
      <c r="F279" s="304">
        <f t="shared" ca="1" si="126"/>
        <v>11.810153393326924</v>
      </c>
      <c r="G279" s="306">
        <f t="shared" ca="1" si="127"/>
        <v>25.604539820950123</v>
      </c>
      <c r="H279" s="307">
        <f t="shared" ca="1" si="128"/>
        <v>62.355419559788118</v>
      </c>
      <c r="I279" s="304">
        <f t="shared" ca="1" si="129"/>
        <v>67.407646509278365</v>
      </c>
      <c r="J279" s="306">
        <f t="shared" ca="1" si="130"/>
        <v>280.23401682105691</v>
      </c>
      <c r="K279" s="307">
        <f t="shared" ca="1" si="131"/>
        <v>1132.0154270615096</v>
      </c>
      <c r="L279" s="304">
        <f t="shared" ca="1" si="116"/>
        <v>1166.1861049116114</v>
      </c>
      <c r="M279" s="306">
        <f t="shared" ca="1" si="132"/>
        <v>1.1811662741934741</v>
      </c>
      <c r="N279" s="304">
        <f t="shared" ca="1" si="133"/>
        <v>67.675842414478225</v>
      </c>
      <c r="P279" s="310">
        <f t="shared" ca="1" si="134"/>
        <v>23</v>
      </c>
      <c r="Q279" s="304">
        <f t="shared" ca="1" si="135"/>
        <v>0</v>
      </c>
      <c r="R279" s="306">
        <f t="shared" ca="1" si="136"/>
        <v>0</v>
      </c>
      <c r="S279" s="307">
        <f t="shared" ca="1" si="137"/>
        <v>7.9769999999999968</v>
      </c>
      <c r="T279" s="304">
        <f t="shared" ca="1" si="117"/>
        <v>78.254369999999966</v>
      </c>
      <c r="U279" s="311">
        <f t="shared" ca="1" si="118"/>
        <v>0</v>
      </c>
      <c r="V279" s="306">
        <f t="shared" ca="1" si="119"/>
        <v>1.0937565885102918</v>
      </c>
      <c r="W279" s="304">
        <f t="shared" ca="1" si="120"/>
        <v>16.41620033567165</v>
      </c>
      <c r="Y279" s="314" t="str">
        <f t="shared" ca="1" si="138"/>
        <v/>
      </c>
      <c r="Z279" s="315" t="str">
        <f t="shared" ca="1" si="139"/>
        <v/>
      </c>
      <c r="AA279" s="316" t="str">
        <f t="shared" ca="1" si="140"/>
        <v/>
      </c>
      <c r="AC279" s="310" t="e">
        <f t="shared" ca="1" si="141"/>
        <v>#N/A</v>
      </c>
      <c r="AD279" s="323" t="e">
        <f t="shared" ca="1" si="142"/>
        <v>#N/A</v>
      </c>
      <c r="AE279" s="324">
        <f t="shared" ca="1" si="121"/>
        <v>1132.0154270615096</v>
      </c>
      <c r="AG279" s="306">
        <f t="shared" ca="1" si="143"/>
        <v>-11.22324911871635</v>
      </c>
      <c r="AH279" s="304">
        <f t="shared" ca="1" si="144"/>
        <v>-2.1283220927938276</v>
      </c>
    </row>
    <row r="280" spans="1:34" x14ac:dyDescent="0.2">
      <c r="A280" s="347">
        <f t="shared" ca="1" si="122"/>
        <v>0.1</v>
      </c>
      <c r="B280" s="304">
        <f t="shared" ca="1" si="123"/>
        <v>9.5999999999999837</v>
      </c>
      <c r="D280" s="306">
        <f t="shared" ca="1" si="124"/>
        <v>-0.78170134981543349</v>
      </c>
      <c r="E280" s="307">
        <f t="shared" ca="1" si="125"/>
        <v>-11.713698171459084</v>
      </c>
      <c r="F280" s="304">
        <f t="shared" ca="1" si="126"/>
        <v>11.739752205747239</v>
      </c>
      <c r="G280" s="306">
        <f t="shared" ca="1" si="127"/>
        <v>25.526369685968579</v>
      </c>
      <c r="H280" s="307">
        <f t="shared" ca="1" si="128"/>
        <v>61.184049742642209</v>
      </c>
      <c r="I280" s="304">
        <f t="shared" ca="1" si="129"/>
        <v>66.295425877317143</v>
      </c>
      <c r="J280" s="306">
        <f t="shared" ca="1" si="130"/>
        <v>282.79056229640287</v>
      </c>
      <c r="K280" s="307">
        <f t="shared" ca="1" si="131"/>
        <v>1138.1924005266312</v>
      </c>
      <c r="L280" s="304">
        <f t="shared" ca="1" si="116"/>
        <v>1172.7968463210034</v>
      </c>
      <c r="M280" s="306">
        <f t="shared" ca="1" si="132"/>
        <v>1.1755455077474826</v>
      </c>
      <c r="N280" s="304">
        <f t="shared" ca="1" si="133"/>
        <v>67.353796219494171</v>
      </c>
      <c r="P280" s="310">
        <f t="shared" ca="1" si="134"/>
        <v>23</v>
      </c>
      <c r="Q280" s="304">
        <f t="shared" ca="1" si="135"/>
        <v>0</v>
      </c>
      <c r="R280" s="306">
        <f t="shared" ca="1" si="136"/>
        <v>0</v>
      </c>
      <c r="S280" s="307">
        <f t="shared" ca="1" si="137"/>
        <v>7.9769999999999968</v>
      </c>
      <c r="T280" s="304">
        <f t="shared" ca="1" si="117"/>
        <v>78.254369999999966</v>
      </c>
      <c r="U280" s="311">
        <f t="shared" ca="1" si="118"/>
        <v>0</v>
      </c>
      <c r="V280" s="306">
        <f t="shared" ca="1" si="119"/>
        <v>1.0930790046541174</v>
      </c>
      <c r="W280" s="304">
        <f t="shared" ca="1" si="120"/>
        <v>15.869100660964577</v>
      </c>
      <c r="Y280" s="314" t="str">
        <f t="shared" ca="1" si="138"/>
        <v/>
      </c>
      <c r="Z280" s="315" t="str">
        <f t="shared" ca="1" si="139"/>
        <v/>
      </c>
      <c r="AA280" s="316" t="str">
        <f t="shared" ca="1" si="140"/>
        <v/>
      </c>
      <c r="AC280" s="310" t="e">
        <f t="shared" ca="1" si="141"/>
        <v>#N/A</v>
      </c>
      <c r="AD280" s="323" t="e">
        <f t="shared" ca="1" si="142"/>
        <v>#N/A</v>
      </c>
      <c r="AE280" s="324">
        <f t="shared" ca="1" si="121"/>
        <v>1138.1924005266312</v>
      </c>
      <c r="AG280" s="306">
        <f t="shared" ca="1" si="143"/>
        <v>-11.132678654107895</v>
      </c>
      <c r="AH280" s="304">
        <f t="shared" ca="1" si="144"/>
        <v>-2.0579416241283259</v>
      </c>
    </row>
    <row r="281" spans="1:34" x14ac:dyDescent="0.2">
      <c r="A281" s="347">
        <f t="shared" ca="1" si="122"/>
        <v>0.1</v>
      </c>
      <c r="B281" s="304">
        <f t="shared" ca="1" si="123"/>
        <v>9.6999999999999833</v>
      </c>
      <c r="D281" s="306">
        <f t="shared" ca="1" si="124"/>
        <v>-0.76598138012763262</v>
      </c>
      <c r="E281" s="307">
        <f t="shared" ca="1" si="125"/>
        <v>-11.645977596509862</v>
      </c>
      <c r="F281" s="304">
        <f t="shared" ca="1" si="126"/>
        <v>11.671140546369573</v>
      </c>
      <c r="G281" s="306">
        <f t="shared" ca="1" si="127"/>
        <v>25.449771547955816</v>
      </c>
      <c r="H281" s="307">
        <f t="shared" ca="1" si="128"/>
        <v>60.019451982991221</v>
      </c>
      <c r="I281" s="304">
        <f t="shared" ca="1" si="129"/>
        <v>65.192219537163552</v>
      </c>
      <c r="J281" s="306">
        <f t="shared" ca="1" si="130"/>
        <v>285.33936935809908</v>
      </c>
      <c r="K281" s="307">
        <f t="shared" ca="1" si="131"/>
        <v>1144.2525756129128</v>
      </c>
      <c r="L281" s="304">
        <f t="shared" ca="1" si="116"/>
        <v>1179.2932258359083</v>
      </c>
      <c r="M281" s="306">
        <f t="shared" ca="1" si="132"/>
        <v>1.169751472140552</v>
      </c>
      <c r="N281" s="304">
        <f t="shared" ca="1" si="133"/>
        <v>67.021822432868532</v>
      </c>
      <c r="P281" s="310">
        <f t="shared" ca="1" si="134"/>
        <v>23</v>
      </c>
      <c r="Q281" s="304">
        <f t="shared" ca="1" si="135"/>
        <v>0</v>
      </c>
      <c r="R281" s="306">
        <f t="shared" ca="1" si="136"/>
        <v>0</v>
      </c>
      <c r="S281" s="307">
        <f t="shared" ca="1" si="137"/>
        <v>7.9769999999999968</v>
      </c>
      <c r="T281" s="304">
        <f t="shared" ca="1" si="117"/>
        <v>78.254369999999966</v>
      </c>
      <c r="U281" s="311">
        <f t="shared" ca="1" si="118"/>
        <v>0</v>
      </c>
      <c r="V281" s="306">
        <f t="shared" ca="1" si="119"/>
        <v>1.0924146177441614</v>
      </c>
      <c r="W281" s="304">
        <f t="shared" ca="1" si="120"/>
        <v>15.336020136314783</v>
      </c>
      <c r="Y281" s="314" t="str">
        <f t="shared" ca="1" si="138"/>
        <v/>
      </c>
      <c r="Z281" s="315" t="str">
        <f t="shared" ca="1" si="139"/>
        <v/>
      </c>
      <c r="AA281" s="316" t="str">
        <f t="shared" ca="1" si="140"/>
        <v/>
      </c>
      <c r="AC281" s="310" t="e">
        <f t="shared" ca="1" si="141"/>
        <v>#N/A</v>
      </c>
      <c r="AD281" s="323" t="e">
        <f t="shared" ca="1" si="142"/>
        <v>#N/A</v>
      </c>
      <c r="AE281" s="324">
        <f t="shared" ca="1" si="121"/>
        <v>1144.2525756129128</v>
      </c>
      <c r="AG281" s="306">
        <f t="shared" ca="1" si="143"/>
        <v>-11.043006161587227</v>
      </c>
      <c r="AH281" s="304">
        <f t="shared" ca="1" si="144"/>
        <v>-1.9893569839494276</v>
      </c>
    </row>
    <row r="282" spans="1:34" x14ac:dyDescent="0.2">
      <c r="A282" s="347">
        <f t="shared" ca="1" si="122"/>
        <v>0.1</v>
      </c>
      <c r="B282" s="304">
        <f t="shared" ca="1" si="123"/>
        <v>9.7999999999999829</v>
      </c>
      <c r="D282" s="306">
        <f t="shared" ca="1" si="124"/>
        <v>-0.75051814927829863</v>
      </c>
      <c r="E282" s="307">
        <f t="shared" ca="1" si="125"/>
        <v>-11.579983983474715</v>
      </c>
      <c r="F282" s="304">
        <f t="shared" ca="1" si="126"/>
        <v>11.604279665275525</v>
      </c>
      <c r="G282" s="306">
        <f t="shared" ca="1" si="127"/>
        <v>25.374719733027987</v>
      </c>
      <c r="H282" s="307">
        <f t="shared" ca="1" si="128"/>
        <v>58.861453584643748</v>
      </c>
      <c r="I282" s="304">
        <f t="shared" ca="1" si="129"/>
        <v>64.097949418268371</v>
      </c>
      <c r="J282" s="306">
        <f t="shared" ca="1" si="130"/>
        <v>287.88059392214825</v>
      </c>
      <c r="K282" s="307">
        <f t="shared" ca="1" si="131"/>
        <v>1150.1966208912945</v>
      </c>
      <c r="L282" s="304">
        <f t="shared" ca="1" si="116"/>
        <v>1185.6759688324298</v>
      </c>
      <c r="M282" s="306">
        <f t="shared" ca="1" si="132"/>
        <v>1.1637767793965574</v>
      </c>
      <c r="N282" s="304">
        <f t="shared" ca="1" si="133"/>
        <v>66.679497754750201</v>
      </c>
      <c r="P282" s="310">
        <f t="shared" ca="1" si="134"/>
        <v>23</v>
      </c>
      <c r="Q282" s="304">
        <f t="shared" ca="1" si="135"/>
        <v>0</v>
      </c>
      <c r="R282" s="306">
        <f t="shared" ca="1" si="136"/>
        <v>0</v>
      </c>
      <c r="S282" s="307">
        <f t="shared" ca="1" si="137"/>
        <v>7.9769999999999968</v>
      </c>
      <c r="T282" s="304">
        <f t="shared" ca="1" si="117"/>
        <v>78.254369999999966</v>
      </c>
      <c r="U282" s="311">
        <f t="shared" ca="1" si="118"/>
        <v>0</v>
      </c>
      <c r="V282" s="306">
        <f t="shared" ca="1" si="119"/>
        <v>1.0917633321952109</v>
      </c>
      <c r="W282" s="304">
        <f t="shared" ca="1" si="120"/>
        <v>14.816663195076124</v>
      </c>
      <c r="Y282" s="314" t="str">
        <f t="shared" ca="1" si="138"/>
        <v/>
      </c>
      <c r="Z282" s="315" t="str">
        <f t="shared" ca="1" si="139"/>
        <v/>
      </c>
      <c r="AA282" s="316" t="str">
        <f t="shared" ca="1" si="140"/>
        <v/>
      </c>
      <c r="AC282" s="310" t="e">
        <f t="shared" ca="1" si="141"/>
        <v>#N/A</v>
      </c>
      <c r="AD282" s="323" t="e">
        <f t="shared" ca="1" si="142"/>
        <v>#N/A</v>
      </c>
      <c r="AE282" s="324">
        <f t="shared" ca="1" si="121"/>
        <v>1150.1966208912945</v>
      </c>
      <c r="AG282" s="306">
        <f t="shared" ca="1" si="143"/>
        <v>-10.954141662481677</v>
      </c>
      <c r="AH282" s="304">
        <f t="shared" ca="1" si="144"/>
        <v>-1.9225297901861338</v>
      </c>
    </row>
    <row r="283" spans="1:34" x14ac:dyDescent="0.2">
      <c r="A283" s="347">
        <f t="shared" ca="1" si="122"/>
        <v>0.1</v>
      </c>
      <c r="B283" s="304">
        <f t="shared" ca="1" si="123"/>
        <v>9.8999999999999826</v>
      </c>
      <c r="D283" s="306">
        <f t="shared" ca="1" si="124"/>
        <v>-0.73530570380047922</v>
      </c>
      <c r="E283" s="307">
        <f t="shared" ca="1" si="125"/>
        <v>-11.515680417760064</v>
      </c>
      <c r="F283" s="304">
        <f t="shared" ca="1" si="126"/>
        <v>11.539132114766003</v>
      </c>
      <c r="G283" s="306">
        <f t="shared" ca="1" si="127"/>
        <v>25.30118916264794</v>
      </c>
      <c r="H283" s="307">
        <f t="shared" ca="1" si="128"/>
        <v>57.709885542867738</v>
      </c>
      <c r="I283" s="304">
        <f t="shared" ca="1" si="129"/>
        <v>63.012546865009263</v>
      </c>
      <c r="J283" s="306">
        <f t="shared" ca="1" si="130"/>
        <v>290.41438936693203</v>
      </c>
      <c r="K283" s="307">
        <f t="shared" ca="1" si="131"/>
        <v>1156.0251878476702</v>
      </c>
      <c r="L283" s="304">
        <f t="shared" ca="1" si="116"/>
        <v>1191.9457842073225</v>
      </c>
      <c r="M283" s="306">
        <f t="shared" ca="1" si="132"/>
        <v>1.1576136421179608</v>
      </c>
      <c r="N283" s="304">
        <f t="shared" ca="1" si="133"/>
        <v>66.326376000126871</v>
      </c>
      <c r="P283" s="310">
        <f t="shared" ca="1" si="134"/>
        <v>23</v>
      </c>
      <c r="Q283" s="304">
        <f t="shared" ca="1" si="135"/>
        <v>0</v>
      </c>
      <c r="R283" s="306">
        <f t="shared" ca="1" si="136"/>
        <v>0</v>
      </c>
      <c r="S283" s="307">
        <f t="shared" ca="1" si="137"/>
        <v>7.9769999999999968</v>
      </c>
      <c r="T283" s="304">
        <f t="shared" ca="1" si="117"/>
        <v>78.254369999999966</v>
      </c>
      <c r="U283" s="311">
        <f t="shared" ca="1" si="118"/>
        <v>0</v>
      </c>
      <c r="V283" s="306">
        <f t="shared" ca="1" si="119"/>
        <v>1.0911250549156235</v>
      </c>
      <c r="W283" s="304">
        <f t="shared" ca="1" si="120"/>
        <v>14.310744496081314</v>
      </c>
      <c r="Y283" s="314" t="str">
        <f t="shared" ca="1" si="138"/>
        <v/>
      </c>
      <c r="Z283" s="315" t="str">
        <f t="shared" ca="1" si="139"/>
        <v/>
      </c>
      <c r="AA283" s="316" t="str">
        <f t="shared" ca="1" si="140"/>
        <v/>
      </c>
      <c r="AC283" s="310" t="e">
        <f t="shared" ca="1" si="141"/>
        <v>#N/A</v>
      </c>
      <c r="AD283" s="323" t="e">
        <f t="shared" ca="1" si="142"/>
        <v>#N/A</v>
      </c>
      <c r="AE283" s="324">
        <f t="shared" ca="1" si="121"/>
        <v>1156.0251878476702</v>
      </c>
      <c r="AG283" s="306">
        <f t="shared" ca="1" si="143"/>
        <v>-10.865992919878105</v>
      </c>
      <c r="AH283" s="304">
        <f t="shared" ca="1" si="144"/>
        <v>-1.8574229904821524</v>
      </c>
    </row>
    <row r="284" spans="1:34" x14ac:dyDescent="0.2">
      <c r="A284" s="347">
        <f t="shared" ca="1" si="122"/>
        <v>0.1</v>
      </c>
      <c r="B284" s="304">
        <f t="shared" ca="1" si="123"/>
        <v>9.9999999999999822</v>
      </c>
      <c r="D284" s="306">
        <f t="shared" ca="1" si="124"/>
        <v>-0.72033834879089842</v>
      </c>
      <c r="E284" s="307">
        <f t="shared" ca="1" si="125"/>
        <v>-11.453031218557573</v>
      </c>
      <c r="F284" s="304">
        <f t="shared" ca="1" si="126"/>
        <v>11.475661699004252</v>
      </c>
      <c r="G284" s="306">
        <f t="shared" ca="1" si="127"/>
        <v>25.229155327768851</v>
      </c>
      <c r="H284" s="307">
        <f t="shared" ca="1" si="128"/>
        <v>56.564582421011984</v>
      </c>
      <c r="I284" s="304">
        <f t="shared" ca="1" si="129"/>
        <v>61.935952911181928</v>
      </c>
      <c r="J284" s="306">
        <f t="shared" ca="1" si="130"/>
        <v>292.94090659145286</v>
      </c>
      <c r="K284" s="307">
        <f t="shared" ca="1" si="131"/>
        <v>1161.7389112458641</v>
      </c>
      <c r="L284" s="304">
        <f t="shared" ca="1" si="116"/>
        <v>1198.1033647633863</v>
      </c>
      <c r="M284" s="306">
        <f t="shared" ca="1" si="132"/>
        <v>1.1512538486633244</v>
      </c>
      <c r="N284" s="304">
        <f t="shared" ca="1" si="133"/>
        <v>65.961986676601271</v>
      </c>
      <c r="P284" s="310">
        <f t="shared" ca="1" si="134"/>
        <v>23</v>
      </c>
      <c r="Q284" s="304">
        <f t="shared" ca="1" si="135"/>
        <v>0</v>
      </c>
      <c r="R284" s="306">
        <f t="shared" ca="1" si="136"/>
        <v>0</v>
      </c>
      <c r="S284" s="307">
        <f t="shared" ca="1" si="137"/>
        <v>7.9769999999999968</v>
      </c>
      <c r="T284" s="304">
        <f t="shared" ca="1" si="117"/>
        <v>78.254369999999966</v>
      </c>
      <c r="U284" s="311">
        <f t="shared" ca="1" si="118"/>
        <v>0</v>
      </c>
      <c r="V284" s="306">
        <f t="shared" ca="1" si="119"/>
        <v>1.0904996952523693</v>
      </c>
      <c r="W284" s="304">
        <f t="shared" ca="1" si="120"/>
        <v>13.817988559195566</v>
      </c>
      <c r="Y284" s="314" t="str">
        <f t="shared" ca="1" si="138"/>
        <v/>
      </c>
      <c r="Z284" s="315" t="str">
        <f t="shared" ca="1" si="139"/>
        <v/>
      </c>
      <c r="AA284" s="316" t="str">
        <f t="shared" ca="1" si="140"/>
        <v/>
      </c>
      <c r="AC284" s="310">
        <f t="shared" ca="1" si="141"/>
        <v>9.9999999999999822</v>
      </c>
      <c r="AD284" s="323">
        <f t="shared" ca="1" si="142"/>
        <v>292.94090659145286</v>
      </c>
      <c r="AE284" s="324">
        <f t="shared" ca="1" si="121"/>
        <v>1161.7389112458641</v>
      </c>
      <c r="AG284" s="306">
        <f t="shared" ca="1" si="143"/>
        <v>-10.778465105064067</v>
      </c>
      <c r="AH284" s="304">
        <f t="shared" ca="1" si="144"/>
        <v>-1.7940008143514254</v>
      </c>
    </row>
    <row r="285" spans="1:34" x14ac:dyDescent="0.2">
      <c r="A285" s="347">
        <f t="shared" ca="1" si="122"/>
        <v>0.1</v>
      </c>
      <c r="B285" s="304">
        <f t="shared" ca="1" si="123"/>
        <v>10.099999999999982</v>
      </c>
      <c r="D285" s="306">
        <f t="shared" ca="1" si="124"/>
        <v>-0.70561064414015506</v>
      </c>
      <c r="E285" s="307">
        <f t="shared" ca="1" si="125"/>
        <v>-11.392001891029574</v>
      </c>
      <c r="F285" s="304">
        <f t="shared" ca="1" si="126"/>
        <v>11.413833425556257</v>
      </c>
      <c r="G285" s="306">
        <f t="shared" ca="1" si="127"/>
        <v>25.158594263354836</v>
      </c>
      <c r="H285" s="307">
        <f t="shared" ca="1" si="128"/>
        <v>55.425382231909026</v>
      </c>
      <c r="I285" s="304">
        <f t="shared" ca="1" si="129"/>
        <v>60.868118591437735</v>
      </c>
      <c r="J285" s="306">
        <f t="shared" ca="1" si="130"/>
        <v>295.46029407100906</v>
      </c>
      <c r="K285" s="307">
        <f t="shared" ca="1" si="131"/>
        <v>1167.3384094785101</v>
      </c>
      <c r="L285" s="304">
        <f t="shared" ca="1" si="116"/>
        <v>1204.1493875829299</v>
      </c>
      <c r="M285" s="306">
        <f t="shared" ca="1" si="132"/>
        <v>1.1446887367190626</v>
      </c>
      <c r="N285" s="304">
        <f t="shared" ca="1" si="133"/>
        <v>65.585833470164147</v>
      </c>
      <c r="P285" s="310">
        <f t="shared" ca="1" si="134"/>
        <v>23</v>
      </c>
      <c r="Q285" s="304">
        <f t="shared" ca="1" si="135"/>
        <v>0</v>
      </c>
      <c r="R285" s="306">
        <f t="shared" ca="1" si="136"/>
        <v>0</v>
      </c>
      <c r="S285" s="307">
        <f t="shared" ca="1" si="137"/>
        <v>7.9769999999999968</v>
      </c>
      <c r="T285" s="304">
        <f t="shared" ca="1" si="117"/>
        <v>78.254369999999966</v>
      </c>
      <c r="U285" s="311">
        <f t="shared" ca="1" si="118"/>
        <v>0</v>
      </c>
      <c r="V285" s="306">
        <f t="shared" ca="1" si="119"/>
        <v>1.0898871649379553</v>
      </c>
      <c r="W285" s="304">
        <f t="shared" ca="1" si="120"/>
        <v>13.338129417219553</v>
      </c>
      <c r="Y285" s="314" t="str">
        <f t="shared" ca="1" si="138"/>
        <v/>
      </c>
      <c r="Z285" s="315" t="str">
        <f t="shared" ca="1" si="139"/>
        <v/>
      </c>
      <c r="AA285" s="316" t="str">
        <f t="shared" ca="1" si="140"/>
        <v/>
      </c>
      <c r="AC285" s="310" t="e">
        <f t="shared" ca="1" si="141"/>
        <v>#N/A</v>
      </c>
      <c r="AD285" s="323" t="e">
        <f t="shared" ca="1" si="142"/>
        <v>#N/A</v>
      </c>
      <c r="AE285" s="324">
        <f t="shared" ca="1" si="121"/>
        <v>1167.3384094785101</v>
      </c>
      <c r="AG285" s="306">
        <f t="shared" ca="1" si="143"/>
        <v>-10.69146044135303</v>
      </c>
      <c r="AH285" s="304">
        <f t="shared" ca="1" si="144"/>
        <v>-1.7322287274909831</v>
      </c>
    </row>
    <row r="286" spans="1:34" x14ac:dyDescent="0.2">
      <c r="A286" s="347">
        <f t="shared" ca="1" si="122"/>
        <v>0.1</v>
      </c>
      <c r="B286" s="304">
        <f t="shared" ca="1" si="123"/>
        <v>10.199999999999982</v>
      </c>
      <c r="D286" s="306">
        <f t="shared" ca="1" si="124"/>
        <v>-0.69111740143006928</v>
      </c>
      <c r="E286" s="307">
        <f t="shared" ca="1" si="125"/>
        <v>-11.332559080225709</v>
      </c>
      <c r="F286" s="304">
        <f t="shared" ca="1" si="126"/>
        <v>11.353613458690832</v>
      </c>
      <c r="G286" s="306">
        <f t="shared" ca="1" si="127"/>
        <v>25.089482523211828</v>
      </c>
      <c r="H286" s="307">
        <f t="shared" ca="1" si="128"/>
        <v>54.292126323886457</v>
      </c>
      <c r="I286" s="304">
        <f t="shared" ca="1" si="129"/>
        <v>59.809005292275145</v>
      </c>
      <c r="J286" s="306">
        <f t="shared" ca="1" si="130"/>
        <v>297.97269791033739</v>
      </c>
      <c r="K286" s="307">
        <f t="shared" ca="1" si="131"/>
        <v>1172.8242849062999</v>
      </c>
      <c r="L286" s="304">
        <f t="shared" ca="1" si="116"/>
        <v>1210.0845143897754</v>
      </c>
      <c r="M286" s="306">
        <f t="shared" ca="1" si="132"/>
        <v>1.1379091651794393</v>
      </c>
      <c r="N286" s="304">
        <f t="shared" ca="1" si="133"/>
        <v>65.197392634036731</v>
      </c>
      <c r="P286" s="310">
        <f t="shared" ca="1" si="134"/>
        <v>23</v>
      </c>
      <c r="Q286" s="304">
        <f t="shared" ca="1" si="135"/>
        <v>0</v>
      </c>
      <c r="R286" s="306">
        <f t="shared" ca="1" si="136"/>
        <v>0</v>
      </c>
      <c r="S286" s="307">
        <f t="shared" ca="1" si="137"/>
        <v>7.9769999999999968</v>
      </c>
      <c r="T286" s="304">
        <f t="shared" ca="1" si="117"/>
        <v>78.254369999999966</v>
      </c>
      <c r="U286" s="311">
        <f t="shared" ca="1" si="118"/>
        <v>0</v>
      </c>
      <c r="V286" s="306">
        <f t="shared" ca="1" si="119"/>
        <v>1.0892873780391765</v>
      </c>
      <c r="W286" s="304">
        <f t="shared" ca="1" si="120"/>
        <v>12.870910283330474</v>
      </c>
      <c r="Y286" s="314" t="str">
        <f t="shared" ca="1" si="138"/>
        <v/>
      </c>
      <c r="Z286" s="315" t="str">
        <f t="shared" ca="1" si="139"/>
        <v/>
      </c>
      <c r="AA286" s="316" t="str">
        <f t="shared" ca="1" si="140"/>
        <v/>
      </c>
      <c r="AC286" s="310" t="e">
        <f t="shared" ca="1" si="141"/>
        <v>#N/A</v>
      </c>
      <c r="AD286" s="323" t="e">
        <f t="shared" ca="1" si="142"/>
        <v>#N/A</v>
      </c>
      <c r="AE286" s="324">
        <f t="shared" ca="1" si="121"/>
        <v>1172.8242849062999</v>
      </c>
      <c r="AG286" s="306">
        <f t="shared" ca="1" si="143"/>
        <v>-10.604877823000862</v>
      </c>
      <c r="AH286" s="304">
        <f t="shared" ca="1" si="144"/>
        <v>-1.6720733881433569</v>
      </c>
    </row>
    <row r="287" spans="1:34" x14ac:dyDescent="0.2">
      <c r="A287" s="347">
        <f t="shared" ca="1" si="122"/>
        <v>0.1</v>
      </c>
      <c r="B287" s="304">
        <f t="shared" ca="1" si="123"/>
        <v>10.299999999999981</v>
      </c>
      <c r="D287" s="306">
        <f t="shared" ca="1" si="124"/>
        <v>-0.67685368150974123</v>
      </c>
      <c r="E287" s="307">
        <f t="shared" ca="1" si="125"/>
        <v>-11.274670526596825</v>
      </c>
      <c r="F287" s="304">
        <f t="shared" ca="1" si="126"/>
        <v>11.29496907430403</v>
      </c>
      <c r="G287" s="306">
        <f t="shared" ca="1" si="127"/>
        <v>25.021797155060852</v>
      </c>
      <c r="H287" s="307">
        <f t="shared" ca="1" si="128"/>
        <v>53.164659271226775</v>
      </c>
      <c r="I287" s="304">
        <f t="shared" ca="1" si="129"/>
        <v>58.758585145446197</v>
      </c>
      <c r="J287" s="306">
        <f t="shared" ca="1" si="130"/>
        <v>300.47826189425103</v>
      </c>
      <c r="K287" s="307">
        <f t="shared" ca="1" si="131"/>
        <v>1178.1971241860556</v>
      </c>
      <c r="L287" s="304">
        <f t="shared" ca="1" si="116"/>
        <v>1215.9093919002689</v>
      </c>
      <c r="M287" s="306">
        <f t="shared" ca="1" si="132"/>
        <v>1.1309054842500237</v>
      </c>
      <c r="N287" s="304">
        <f t="shared" ca="1" si="133"/>
        <v>64.796111275724954</v>
      </c>
      <c r="P287" s="310">
        <f t="shared" ca="1" si="134"/>
        <v>23</v>
      </c>
      <c r="Q287" s="304">
        <f t="shared" ca="1" si="135"/>
        <v>0</v>
      </c>
      <c r="R287" s="306">
        <f t="shared" ca="1" si="136"/>
        <v>0</v>
      </c>
      <c r="S287" s="307">
        <f t="shared" ca="1" si="137"/>
        <v>7.9769999999999968</v>
      </c>
      <c r="T287" s="304">
        <f t="shared" ca="1" si="117"/>
        <v>78.254369999999966</v>
      </c>
      <c r="U287" s="311">
        <f t="shared" ca="1" si="118"/>
        <v>0</v>
      </c>
      <c r="V287" s="306">
        <f t="shared" ca="1" si="119"/>
        <v>1.0887002509076051</v>
      </c>
      <c r="W287" s="304">
        <f t="shared" ca="1" si="120"/>
        <v>12.416083233293818</v>
      </c>
      <c r="Y287" s="314" t="str">
        <f t="shared" ca="1" si="138"/>
        <v/>
      </c>
      <c r="Z287" s="315" t="str">
        <f t="shared" ca="1" si="139"/>
        <v/>
      </c>
      <c r="AA287" s="316" t="str">
        <f t="shared" ca="1" si="140"/>
        <v/>
      </c>
      <c r="AC287" s="310" t="e">
        <f t="shared" ca="1" si="141"/>
        <v>#N/A</v>
      </c>
      <c r="AD287" s="323" t="e">
        <f t="shared" ca="1" si="142"/>
        <v>#N/A</v>
      </c>
      <c r="AE287" s="324">
        <f t="shared" ca="1" si="121"/>
        <v>1178.1971241860556</v>
      </c>
      <c r="AG287" s="306">
        <f t="shared" ca="1" si="143"/>
        <v>-10.518612406758404</v>
      </c>
      <c r="AH287" s="304">
        <f t="shared" ca="1" si="144"/>
        <v>-1.6135026054068546</v>
      </c>
    </row>
    <row r="288" spans="1:34" x14ac:dyDescent="0.2">
      <c r="A288" s="347">
        <f t="shared" ca="1" si="122"/>
        <v>0.1</v>
      </c>
      <c r="B288" s="304">
        <f t="shared" ca="1" si="123"/>
        <v>10.399999999999981</v>
      </c>
      <c r="D288" s="306">
        <f t="shared" ca="1" si="124"/>
        <v>-0.66281479276525157</v>
      </c>
      <c r="E288" s="307">
        <f t="shared" ca="1" si="125"/>
        <v>-11.218305022973386</v>
      </c>
      <c r="F288" s="304">
        <f t="shared" ca="1" si="126"/>
        <v>11.237868616333719</v>
      </c>
      <c r="G288" s="306">
        <f t="shared" ca="1" si="127"/>
        <v>24.955515675784326</v>
      </c>
      <c r="H288" s="307">
        <f t="shared" ca="1" si="128"/>
        <v>52.042828768929439</v>
      </c>
      <c r="I288" s="304">
        <f t="shared" ca="1" si="129"/>
        <v>57.716841466910047</v>
      </c>
      <c r="J288" s="306">
        <f t="shared" ca="1" si="130"/>
        <v>302.97712753579327</v>
      </c>
      <c r="K288" s="307">
        <f t="shared" ca="1" si="131"/>
        <v>1183.4574985880633</v>
      </c>
      <c r="L288" s="304">
        <f t="shared" ca="1" si="116"/>
        <v>1221.6246521637308</v>
      </c>
      <c r="M288" s="306">
        <f t="shared" ca="1" si="132"/>
        <v>1.1236675036928578</v>
      </c>
      <c r="N288" s="304">
        <f t="shared" ca="1" si="133"/>
        <v>64.381405537601594</v>
      </c>
      <c r="P288" s="310">
        <f t="shared" ca="1" si="134"/>
        <v>23</v>
      </c>
      <c r="Q288" s="304">
        <f t="shared" ca="1" si="135"/>
        <v>0</v>
      </c>
      <c r="R288" s="306">
        <f t="shared" ca="1" si="136"/>
        <v>0</v>
      </c>
      <c r="S288" s="307">
        <f t="shared" ca="1" si="137"/>
        <v>7.9769999999999968</v>
      </c>
      <c r="T288" s="304">
        <f t="shared" ca="1" si="117"/>
        <v>78.254369999999966</v>
      </c>
      <c r="U288" s="311">
        <f t="shared" ca="1" si="118"/>
        <v>0</v>
      </c>
      <c r="V288" s="306">
        <f t="shared" ca="1" si="119"/>
        <v>1.088125702131769</v>
      </c>
      <c r="W288" s="304">
        <f t="shared" ca="1" si="120"/>
        <v>11.973408901720372</v>
      </c>
      <c r="Y288" s="314" t="str">
        <f t="shared" ca="1" si="138"/>
        <v/>
      </c>
      <c r="Z288" s="315" t="str">
        <f t="shared" ca="1" si="139"/>
        <v/>
      </c>
      <c r="AA288" s="316" t="str">
        <f t="shared" ca="1" si="140"/>
        <v/>
      </c>
      <c r="AC288" s="310" t="e">
        <f t="shared" ca="1" si="141"/>
        <v>#N/A</v>
      </c>
      <c r="AD288" s="323" t="e">
        <f t="shared" ca="1" si="142"/>
        <v>#N/A</v>
      </c>
      <c r="AE288" s="324">
        <f t="shared" ca="1" si="121"/>
        <v>1183.4574985880633</v>
      </c>
      <c r="AG288" s="306">
        <f t="shared" ca="1" si="143"/>
        <v>-10.432555173437928</v>
      </c>
      <c r="AH288" s="304">
        <f t="shared" ca="1" si="144"/>
        <v>-1.5564852993974958</v>
      </c>
    </row>
    <row r="289" spans="1:34" x14ac:dyDescent="0.2">
      <c r="A289" s="347">
        <f t="shared" ca="1" si="122"/>
        <v>0.1</v>
      </c>
      <c r="B289" s="304">
        <f t="shared" ca="1" si="123"/>
        <v>10.49999999999998</v>
      </c>
      <c r="D289" s="306">
        <f t="shared" ca="1" si="124"/>
        <v>-0.64899629010146398</v>
      </c>
      <c r="E289" s="307">
        <f t="shared" ca="1" si="125"/>
        <v>-11.163432372875999</v>
      </c>
      <c r="F289" s="304">
        <f t="shared" ca="1" si="126"/>
        <v>11.182281454530704</v>
      </c>
      <c r="G289" s="306">
        <f t="shared" ca="1" si="127"/>
        <v>24.890616046774181</v>
      </c>
      <c r="H289" s="307">
        <f t="shared" ca="1" si="128"/>
        <v>50.926485531641838</v>
      </c>
      <c r="I289" s="304">
        <f t="shared" ca="1" si="129"/>
        <v>56.683769244753456</v>
      </c>
      <c r="J289" s="306">
        <f t="shared" ca="1" si="130"/>
        <v>305.46943412192121</v>
      </c>
      <c r="K289" s="307">
        <f t="shared" ca="1" si="131"/>
        <v>1188.6059643030919</v>
      </c>
      <c r="L289" s="304">
        <f t="shared" ca="1" si="116"/>
        <v>1227.2309128927814</v>
      </c>
      <c r="M289" s="306">
        <f t="shared" ca="1" si="132"/>
        <v>1.1161844591369761</v>
      </c>
      <c r="N289" s="304">
        <f t="shared" ca="1" si="133"/>
        <v>63.952658666641227</v>
      </c>
      <c r="P289" s="310">
        <f t="shared" ca="1" si="134"/>
        <v>23</v>
      </c>
      <c r="Q289" s="304">
        <f t="shared" ca="1" si="135"/>
        <v>0</v>
      </c>
      <c r="R289" s="306">
        <f t="shared" ca="1" si="136"/>
        <v>0</v>
      </c>
      <c r="S289" s="307">
        <f t="shared" ca="1" si="137"/>
        <v>7.9769999999999968</v>
      </c>
      <c r="T289" s="304">
        <f t="shared" ca="1" si="117"/>
        <v>78.254369999999966</v>
      </c>
      <c r="U289" s="311">
        <f t="shared" ca="1" si="118"/>
        <v>0</v>
      </c>
      <c r="V289" s="306">
        <f t="shared" ca="1" si="119"/>
        <v>1.0875636524909364</v>
      </c>
      <c r="W289" s="304">
        <f t="shared" ca="1" si="120"/>
        <v>11.542656191681667</v>
      </c>
      <c r="Y289" s="314" t="str">
        <f t="shared" ca="1" si="138"/>
        <v/>
      </c>
      <c r="Z289" s="315" t="str">
        <f t="shared" ca="1" si="139"/>
        <v/>
      </c>
      <c r="AA289" s="316" t="str">
        <f t="shared" ca="1" si="140"/>
        <v/>
      </c>
      <c r="AC289" s="310" t="e">
        <f t="shared" ca="1" si="141"/>
        <v>#N/A</v>
      </c>
      <c r="AD289" s="323" t="e">
        <f t="shared" ca="1" si="142"/>
        <v>#N/A</v>
      </c>
      <c r="AE289" s="324">
        <f t="shared" ca="1" si="121"/>
        <v>1188.6059643030919</v>
      </c>
      <c r="AG289" s="306">
        <f t="shared" ca="1" si="143"/>
        <v>-10.346592456703135</v>
      </c>
      <c r="AH289" s="304">
        <f t="shared" ca="1" si="144"/>
        <v>-1.5009914631716657</v>
      </c>
    </row>
    <row r="290" spans="1:34" x14ac:dyDescent="0.2">
      <c r="A290" s="347">
        <f t="shared" ca="1" si="122"/>
        <v>0.1</v>
      </c>
      <c r="B290" s="304">
        <f t="shared" ca="1" si="123"/>
        <v>10.59999999999998</v>
      </c>
      <c r="D290" s="306">
        <f t="shared" ca="1" si="124"/>
        <v>-0.63539397465800052</v>
      </c>
      <c r="E290" s="307">
        <f t="shared" ca="1" si="125"/>
        <v>-11.110023350024987</v>
      </c>
      <c r="F290" s="304">
        <f t="shared" ca="1" si="126"/>
        <v>11.128177943452023</v>
      </c>
      <c r="G290" s="306">
        <f t="shared" ca="1" si="127"/>
        <v>24.827076649308381</v>
      </c>
      <c r="H290" s="307">
        <f t="shared" ca="1" si="128"/>
        <v>49.815483196639342</v>
      </c>
      <c r="I290" s="304">
        <f t="shared" ca="1" si="129"/>
        <v>55.659375679801599</v>
      </c>
      <c r="J290" s="306">
        <f t="shared" ca="1" si="130"/>
        <v>307.95531875672532</v>
      </c>
      <c r="K290" s="307">
        <f t="shared" ca="1" si="131"/>
        <v>1193.6430627395059</v>
      </c>
      <c r="L290" s="304">
        <f t="shared" ca="1" si="116"/>
        <v>1232.7287777839472</v>
      </c>
      <c r="M290" s="306">
        <f t="shared" ca="1" si="132"/>
        <v>1.1084449763862911</v>
      </c>
      <c r="N290" s="304">
        <f t="shared" ca="1" si="133"/>
        <v>63.509218969412679</v>
      </c>
      <c r="P290" s="310">
        <f t="shared" ca="1" si="134"/>
        <v>23</v>
      </c>
      <c r="Q290" s="304">
        <f t="shared" ca="1" si="135"/>
        <v>0</v>
      </c>
      <c r="R290" s="306">
        <f t="shared" ca="1" si="136"/>
        <v>0</v>
      </c>
      <c r="S290" s="307">
        <f t="shared" ca="1" si="137"/>
        <v>7.9769999999999968</v>
      </c>
      <c r="T290" s="304">
        <f t="shared" ca="1" si="117"/>
        <v>78.254369999999966</v>
      </c>
      <c r="U290" s="311">
        <f t="shared" ca="1" si="118"/>
        <v>0</v>
      </c>
      <c r="V290" s="306">
        <f t="shared" ca="1" si="119"/>
        <v>1.0870140249104594</v>
      </c>
      <c r="W290" s="304">
        <f t="shared" ca="1" si="120"/>
        <v>11.123601997033619</v>
      </c>
      <c r="Y290" s="314" t="str">
        <f t="shared" ca="1" si="138"/>
        <v/>
      </c>
      <c r="Z290" s="315" t="str">
        <f t="shared" ca="1" si="139"/>
        <v/>
      </c>
      <c r="AA290" s="316" t="str">
        <f t="shared" ca="1" si="140"/>
        <v/>
      </c>
      <c r="AC290" s="310" t="e">
        <f t="shared" ca="1" si="141"/>
        <v>#N/A</v>
      </c>
      <c r="AD290" s="323" t="e">
        <f t="shared" ca="1" si="142"/>
        <v>#N/A</v>
      </c>
      <c r="AE290" s="324">
        <f t="shared" ca="1" si="121"/>
        <v>1193.6430627395059</v>
      </c>
      <c r="AG290" s="306">
        <f t="shared" ca="1" si="143"/>
        <v>-10.260605436127189</v>
      </c>
      <c r="AH290" s="304">
        <f t="shared" ca="1" si="144"/>
        <v>-1.4469921263233887</v>
      </c>
    </row>
    <row r="291" spans="1:34" x14ac:dyDescent="0.2">
      <c r="A291" s="347">
        <f t="shared" ca="1" si="122"/>
        <v>0.1</v>
      </c>
      <c r="B291" s="304">
        <f t="shared" ca="1" si="123"/>
        <v>10.69999999999998</v>
      </c>
      <c r="D291" s="306">
        <f t="shared" ca="1" si="124"/>
        <v>-0.62200389428520564</v>
      </c>
      <c r="E291" s="307">
        <f t="shared" ca="1" si="125"/>
        <v>-11.058049658914316</v>
      </c>
      <c r="F291" s="304">
        <f t="shared" ca="1" si="126"/>
        <v>11.075529382540637</v>
      </c>
      <c r="G291" s="306">
        <f t="shared" ca="1" si="127"/>
        <v>24.764876259879859</v>
      </c>
      <c r="H291" s="307">
        <f t="shared" ca="1" si="128"/>
        <v>48.709678230747912</v>
      </c>
      <c r="I291" s="304">
        <f t="shared" ca="1" si="129"/>
        <v>54.643680782961155</v>
      </c>
      <c r="J291" s="306">
        <f t="shared" ca="1" si="130"/>
        <v>310.43491640218474</v>
      </c>
      <c r="K291" s="307">
        <f t="shared" ca="1" si="131"/>
        <v>1198.5693208108753</v>
      </c>
      <c r="L291" s="304">
        <f t="shared" ca="1" si="116"/>
        <v>1238.1188368289509</v>
      </c>
      <c r="M291" s="306">
        <f t="shared" ca="1" si="132"/>
        <v>1.1004370336689901</v>
      </c>
      <c r="N291" s="304">
        <f t="shared" ca="1" si="133"/>
        <v>63.050397649128811</v>
      </c>
      <c r="P291" s="310">
        <f t="shared" ca="1" si="134"/>
        <v>23</v>
      </c>
      <c r="Q291" s="304">
        <f t="shared" ca="1" si="135"/>
        <v>0</v>
      </c>
      <c r="R291" s="306">
        <f t="shared" ca="1" si="136"/>
        <v>0</v>
      </c>
      <c r="S291" s="307">
        <f t="shared" ca="1" si="137"/>
        <v>7.9769999999999968</v>
      </c>
      <c r="T291" s="304">
        <f t="shared" ca="1" si="117"/>
        <v>78.254369999999966</v>
      </c>
      <c r="U291" s="311">
        <f t="shared" ca="1" si="118"/>
        <v>0</v>
      </c>
      <c r="V291" s="306">
        <f t="shared" ca="1" si="119"/>
        <v>1.0864767444186032</v>
      </c>
      <c r="W291" s="304">
        <f t="shared" ca="1" si="120"/>
        <v>10.716030936831784</v>
      </c>
      <c r="Y291" s="314" t="str">
        <f t="shared" ca="1" si="138"/>
        <v/>
      </c>
      <c r="Z291" s="315" t="str">
        <f t="shared" ca="1" si="139"/>
        <v/>
      </c>
      <c r="AA291" s="316" t="str">
        <f t="shared" ca="1" si="140"/>
        <v/>
      </c>
      <c r="AC291" s="310" t="e">
        <f t="shared" ca="1" si="141"/>
        <v>#N/A</v>
      </c>
      <c r="AD291" s="323" t="e">
        <f t="shared" ca="1" si="142"/>
        <v>#N/A</v>
      </c>
      <c r="AE291" s="324">
        <f t="shared" ca="1" si="121"/>
        <v>1198.5693208108753</v>
      </c>
      <c r="AG291" s="306">
        <f t="shared" ca="1" si="143"/>
        <v>-10.174469591406945</v>
      </c>
      <c r="AH291" s="304">
        <f t="shared" ca="1" si="144"/>
        <v>-1.3944593201747053</v>
      </c>
    </row>
    <row r="292" spans="1:34" x14ac:dyDescent="0.2">
      <c r="A292" s="347">
        <f t="shared" ca="1" si="122"/>
        <v>0.1</v>
      </c>
      <c r="B292" s="304">
        <f t="shared" ca="1" si="123"/>
        <v>10.799999999999979</v>
      </c>
      <c r="D292" s="306">
        <f t="shared" ca="1" si="124"/>
        <v>-0.60882234480974284</v>
      </c>
      <c r="E292" s="307">
        <f t="shared" ca="1" si="125"/>
        <v>-11.007483896312266</v>
      </c>
      <c r="F292" s="304">
        <f t="shared" ca="1" si="126"/>
        <v>11.024307977152738</v>
      </c>
      <c r="G292" s="306">
        <f t="shared" ca="1" si="127"/>
        <v>24.703994025398885</v>
      </c>
      <c r="H292" s="307">
        <f t="shared" ca="1" si="128"/>
        <v>47.608929841116684</v>
      </c>
      <c r="I292" s="304">
        <f t="shared" ca="1" si="129"/>
        <v>53.636718033669005</v>
      </c>
      <c r="J292" s="306">
        <f t="shared" ca="1" si="130"/>
        <v>312.90835991644866</v>
      </c>
      <c r="K292" s="307">
        <f t="shared" ca="1" si="131"/>
        <v>1203.3852512144686</v>
      </c>
      <c r="L292" s="304">
        <f t="shared" ca="1" si="116"/>
        <v>1243.4016666170717</v>
      </c>
      <c r="M292" s="306">
        <f t="shared" ca="1" si="132"/>
        <v>1.0921479217894212</v>
      </c>
      <c r="N292" s="304">
        <f t="shared" ca="1" si="133"/>
        <v>62.575466522517758</v>
      </c>
      <c r="P292" s="310">
        <f t="shared" ca="1" si="134"/>
        <v>23</v>
      </c>
      <c r="Q292" s="304">
        <f t="shared" ca="1" si="135"/>
        <v>0</v>
      </c>
      <c r="R292" s="306">
        <f t="shared" ca="1" si="136"/>
        <v>0</v>
      </c>
      <c r="S292" s="307">
        <f t="shared" ca="1" si="137"/>
        <v>7.9769999999999968</v>
      </c>
      <c r="T292" s="304">
        <f t="shared" ca="1" si="117"/>
        <v>78.254369999999966</v>
      </c>
      <c r="U292" s="311">
        <f t="shared" ca="1" si="118"/>
        <v>0</v>
      </c>
      <c r="V292" s="306">
        <f t="shared" ca="1" si="119"/>
        <v>1.0859517381048114</v>
      </c>
      <c r="W292" s="304">
        <f t="shared" ca="1" si="120"/>
        <v>10.319735101253436</v>
      </c>
      <c r="Y292" s="314" t="str">
        <f t="shared" ca="1" si="138"/>
        <v/>
      </c>
      <c r="Z292" s="315" t="str">
        <f t="shared" ca="1" si="139"/>
        <v/>
      </c>
      <c r="AA292" s="316" t="str">
        <f t="shared" ca="1" si="140"/>
        <v/>
      </c>
      <c r="AC292" s="310" t="e">
        <f t="shared" ca="1" si="141"/>
        <v>#N/A</v>
      </c>
      <c r="AD292" s="323" t="e">
        <f t="shared" ca="1" si="142"/>
        <v>#N/A</v>
      </c>
      <c r="AE292" s="324">
        <f t="shared" ca="1" si="121"/>
        <v>1203.3852512144686</v>
      </c>
      <c r="AG292" s="306">
        <f t="shared" ca="1" si="143"/>
        <v>-10.088054114481647</v>
      </c>
      <c r="AH292" s="304">
        <f t="shared" ca="1" si="144"/>
        <v>-1.3433660444818589</v>
      </c>
    </row>
    <row r="293" spans="1:34" x14ac:dyDescent="0.2">
      <c r="A293" s="347">
        <f t="shared" ca="1" si="122"/>
        <v>0.1</v>
      </c>
      <c r="B293" s="304">
        <f t="shared" ca="1" si="123"/>
        <v>10.899999999999979</v>
      </c>
      <c r="D293" s="306">
        <f t="shared" ca="1" si="124"/>
        <v>-0.59584587212338336</v>
      </c>
      <c r="E293" s="307">
        <f t="shared" ca="1" si="125"/>
        <v>-10.958299513547308</v>
      </c>
      <c r="F293" s="304">
        <f t="shared" ca="1" si="126"/>
        <v>10.974486800390151</v>
      </c>
      <c r="G293" s="306">
        <f t="shared" ca="1" si="127"/>
        <v>24.644409438186546</v>
      </c>
      <c r="H293" s="307">
        <f t="shared" ca="1" si="128"/>
        <v>46.513099889761953</v>
      </c>
      <c r="I293" s="304">
        <f t="shared" ca="1" si="129"/>
        <v>52.638535104160638</v>
      </c>
      <c r="J293" s="306">
        <f t="shared" ca="1" si="130"/>
        <v>315.37578008962794</v>
      </c>
      <c r="K293" s="307">
        <f t="shared" ca="1" si="131"/>
        <v>1208.0913527010125</v>
      </c>
      <c r="L293" s="304">
        <f t="shared" ca="1" si="116"/>
        <v>1248.5778306289535</v>
      </c>
      <c r="M293" s="306">
        <f t="shared" ca="1" si="132"/>
        <v>1.0835642021661462</v>
      </c>
      <c r="N293" s="304">
        <f t="shared" ca="1" si="133"/>
        <v>62.083655615580476</v>
      </c>
      <c r="P293" s="310">
        <f t="shared" ca="1" si="134"/>
        <v>23</v>
      </c>
      <c r="Q293" s="304">
        <f t="shared" ca="1" si="135"/>
        <v>0</v>
      </c>
      <c r="R293" s="306">
        <f t="shared" ca="1" si="136"/>
        <v>0</v>
      </c>
      <c r="S293" s="307">
        <f t="shared" ca="1" si="137"/>
        <v>7.9769999999999968</v>
      </c>
      <c r="T293" s="304">
        <f t="shared" ca="1" si="117"/>
        <v>78.254369999999966</v>
      </c>
      <c r="U293" s="311">
        <f t="shared" ca="1" si="118"/>
        <v>0</v>
      </c>
      <c r="V293" s="306">
        <f t="shared" ca="1" si="119"/>
        <v>1.0854389350793454</v>
      </c>
      <c r="W293" s="304">
        <f t="shared" ca="1" si="120"/>
        <v>9.9345138084712374</v>
      </c>
      <c r="Y293" s="314" t="str">
        <f t="shared" ca="1" si="138"/>
        <v/>
      </c>
      <c r="Z293" s="315" t="str">
        <f t="shared" ca="1" si="139"/>
        <v/>
      </c>
      <c r="AA293" s="316" t="str">
        <f t="shared" ca="1" si="140"/>
        <v/>
      </c>
      <c r="AC293" s="310" t="e">
        <f t="shared" ca="1" si="141"/>
        <v>#N/A</v>
      </c>
      <c r="AD293" s="323" t="e">
        <f t="shared" ca="1" si="142"/>
        <v>#N/A</v>
      </c>
      <c r="AE293" s="324">
        <f t="shared" ca="1" si="121"/>
        <v>1208.0913527010125</v>
      </c>
      <c r="AG293" s="306">
        <f t="shared" ca="1" si="143"/>
        <v>-10.001221276191439</v>
      </c>
      <c r="AH293" s="304">
        <f t="shared" ca="1" si="144"/>
        <v>-1.293686235583984</v>
      </c>
    </row>
    <row r="294" spans="1:34" x14ac:dyDescent="0.2">
      <c r="A294" s="347">
        <f t="shared" ca="1" si="122"/>
        <v>0.1</v>
      </c>
      <c r="B294" s="304">
        <f t="shared" ca="1" si="123"/>
        <v>10.999999999999979</v>
      </c>
      <c r="D294" s="306">
        <f t="shared" ca="1" si="124"/>
        <v>-0.58307127513250823</v>
      </c>
      <c r="E294" s="307">
        <f t="shared" ca="1" si="125"/>
        <v>-10.910470779432274</v>
      </c>
      <c r="F294" s="304">
        <f t="shared" ca="1" si="126"/>
        <v>10.92603975558986</v>
      </c>
      <c r="G294" s="306">
        <f t="shared" ca="1" si="127"/>
        <v>24.586102310673294</v>
      </c>
      <c r="H294" s="307">
        <f t="shared" ca="1" si="128"/>
        <v>45.422052811818723</v>
      </c>
      <c r="I294" s="304">
        <f t="shared" ca="1" si="129"/>
        <v>51.649194654617254</v>
      </c>
      <c r="J294" s="306">
        <f t="shared" ca="1" si="130"/>
        <v>317.83730567707096</v>
      </c>
      <c r="K294" s="307">
        <f t="shared" ca="1" si="131"/>
        <v>1212.6881103360915</v>
      </c>
      <c r="L294" s="304">
        <f t="shared" ca="1" si="116"/>
        <v>1253.6478795222288</v>
      </c>
      <c r="M294" s="306">
        <f t="shared" ca="1" si="132"/>
        <v>1.0746716627697637</v>
      </c>
      <c r="N294" s="304">
        <f t="shared" ca="1" si="133"/>
        <v>61.574150639013943</v>
      </c>
      <c r="P294" s="310">
        <f t="shared" ca="1" si="134"/>
        <v>23</v>
      </c>
      <c r="Q294" s="304">
        <f t="shared" ca="1" si="135"/>
        <v>0</v>
      </c>
      <c r="R294" s="306">
        <f t="shared" ca="1" si="136"/>
        <v>0</v>
      </c>
      <c r="S294" s="307">
        <f t="shared" ca="1" si="137"/>
        <v>7.9769999999999968</v>
      </c>
      <c r="T294" s="304">
        <f t="shared" ca="1" si="117"/>
        <v>78.254369999999966</v>
      </c>
      <c r="U294" s="311">
        <f t="shared" ca="1" si="118"/>
        <v>0</v>
      </c>
      <c r="V294" s="306">
        <f t="shared" ca="1" si="119"/>
        <v>1.0849382664342417</v>
      </c>
      <c r="W294" s="304">
        <f t="shared" ca="1" si="120"/>
        <v>9.5601733719503823</v>
      </c>
      <c r="Y294" s="314" t="str">
        <f t="shared" ca="1" si="138"/>
        <v/>
      </c>
      <c r="Z294" s="315" t="str">
        <f t="shared" ca="1" si="139"/>
        <v/>
      </c>
      <c r="AA294" s="316" t="str">
        <f t="shared" ca="1" si="140"/>
        <v/>
      </c>
      <c r="AC294" s="310">
        <f t="shared" ca="1" si="141"/>
        <v>10.999999999999979</v>
      </c>
      <c r="AD294" s="323">
        <f t="shared" ca="1" si="142"/>
        <v>317.83730567707096</v>
      </c>
      <c r="AE294" s="324">
        <f t="shared" ca="1" si="121"/>
        <v>1212.6881103360915</v>
      </c>
      <c r="AG294" s="306">
        <f t="shared" ca="1" si="143"/>
        <v>-9.9138257440379558</v>
      </c>
      <c r="AH294" s="304">
        <f t="shared" ca="1" si="144"/>
        <v>-1.2453947359246886</v>
      </c>
    </row>
    <row r="295" spans="1:34" x14ac:dyDescent="0.2">
      <c r="A295" s="347">
        <f t="shared" ca="1" si="122"/>
        <v>0.1</v>
      </c>
      <c r="B295" s="304">
        <f t="shared" ca="1" si="123"/>
        <v>11.099999999999978</v>
      </c>
      <c r="D295" s="306">
        <f t="shared" ca="1" si="124"/>
        <v>-0.57049560960978973</v>
      </c>
      <c r="E295" s="307">
        <f t="shared" ca="1" si="125"/>
        <v>-10.863972743673049</v>
      </c>
      <c r="F295" s="304">
        <f t="shared" ca="1" si="126"/>
        <v>10.87894153931599</v>
      </c>
      <c r="G295" s="306">
        <f t="shared" ca="1" si="127"/>
        <v>24.529052749712314</v>
      </c>
      <c r="H295" s="307">
        <f t="shared" ca="1" si="128"/>
        <v>44.335655537451416</v>
      </c>
      <c r="I295" s="304">
        <f t="shared" ca="1" si="129"/>
        <v>50.668775204594354</v>
      </c>
      <c r="J295" s="306">
        <f t="shared" ca="1" si="130"/>
        <v>320.29306343009023</v>
      </c>
      <c r="K295" s="307">
        <f t="shared" ca="1" si="131"/>
        <v>1217.1759957535551</v>
      </c>
      <c r="L295" s="304">
        <f t="shared" ca="1" si="116"/>
        <v>1258.6123514093169</v>
      </c>
      <c r="M295" s="306">
        <f t="shared" ca="1" si="132"/>
        <v>1.0654552720129704</v>
      </c>
      <c r="N295" s="304">
        <f t="shared" ca="1" si="133"/>
        <v>61.0460903463063</v>
      </c>
      <c r="P295" s="310">
        <f t="shared" ca="1" si="134"/>
        <v>23</v>
      </c>
      <c r="Q295" s="304">
        <f t="shared" ca="1" si="135"/>
        <v>0</v>
      </c>
      <c r="R295" s="306">
        <f t="shared" ca="1" si="136"/>
        <v>0</v>
      </c>
      <c r="S295" s="307">
        <f t="shared" ca="1" si="137"/>
        <v>7.9769999999999968</v>
      </c>
      <c r="T295" s="304">
        <f t="shared" ca="1" si="117"/>
        <v>78.254369999999966</v>
      </c>
      <c r="U295" s="311">
        <f t="shared" ca="1" si="118"/>
        <v>0</v>
      </c>
      <c r="V295" s="306">
        <f t="shared" ca="1" si="119"/>
        <v>1.0844496652055371</v>
      </c>
      <c r="W295" s="304">
        <f t="shared" ca="1" si="120"/>
        <v>9.1965268776670435</v>
      </c>
      <c r="Y295" s="314" t="str">
        <f t="shared" ca="1" si="138"/>
        <v/>
      </c>
      <c r="Z295" s="315" t="str">
        <f t="shared" ca="1" si="139"/>
        <v/>
      </c>
      <c r="AA295" s="316" t="str">
        <f t="shared" ca="1" si="140"/>
        <v/>
      </c>
      <c r="AC295" s="310" t="e">
        <f t="shared" ca="1" si="141"/>
        <v>#N/A</v>
      </c>
      <c r="AD295" s="323" t="e">
        <f t="shared" ca="1" si="142"/>
        <v>#N/A</v>
      </c>
      <c r="AE295" s="324">
        <f t="shared" ca="1" si="121"/>
        <v>1217.1759957535551</v>
      </c>
      <c r="AG295" s="306">
        <f t="shared" ca="1" si="143"/>
        <v>-9.8257138475936436</v>
      </c>
      <c r="AH295" s="304">
        <f t="shared" ca="1" si="144"/>
        <v>-1.1984672648803292</v>
      </c>
    </row>
    <row r="296" spans="1:34" x14ac:dyDescent="0.2">
      <c r="A296" s="347">
        <f t="shared" ca="1" si="122"/>
        <v>0.1</v>
      </c>
      <c r="B296" s="304">
        <f t="shared" ca="1" si="123"/>
        <v>11.199999999999978</v>
      </c>
      <c r="D296" s="306">
        <f t="shared" ca="1" si="124"/>
        <v>-0.55811619299342075</v>
      </c>
      <c r="E296" s="307">
        <f t="shared" ca="1" si="125"/>
        <v>-10.818781200599778</v>
      </c>
      <c r="F296" s="304">
        <f t="shared" ca="1" si="126"/>
        <v>10.833167604691281</v>
      </c>
      <c r="G296" s="306">
        <f t="shared" ca="1" si="127"/>
        <v>24.473241130412973</v>
      </c>
      <c r="H296" s="307">
        <f t="shared" ca="1" si="128"/>
        <v>43.25377741739144</v>
      </c>
      <c r="I296" s="304">
        <f t="shared" ca="1" si="129"/>
        <v>49.697372086465286</v>
      </c>
      <c r="J296" s="306">
        <f t="shared" ca="1" si="130"/>
        <v>322.74317812409652</v>
      </c>
      <c r="K296" s="307">
        <f t="shared" ca="1" si="131"/>
        <v>1221.5554674012972</v>
      </c>
      <c r="L296" s="304">
        <f t="shared" ca="1" si="116"/>
        <v>1263.4717721277527</v>
      </c>
      <c r="M296" s="306">
        <f t="shared" ca="1" si="132"/>
        <v>1.055899130695118</v>
      </c>
      <c r="N296" s="304">
        <f t="shared" ca="1" si="133"/>
        <v>60.498563780362772</v>
      </c>
      <c r="P296" s="310">
        <f t="shared" ca="1" si="134"/>
        <v>23</v>
      </c>
      <c r="Q296" s="304">
        <f t="shared" ca="1" si="135"/>
        <v>0</v>
      </c>
      <c r="R296" s="306">
        <f t="shared" ca="1" si="136"/>
        <v>0</v>
      </c>
      <c r="S296" s="307">
        <f t="shared" ca="1" si="137"/>
        <v>7.9769999999999968</v>
      </c>
      <c r="T296" s="304">
        <f t="shared" ca="1" si="117"/>
        <v>78.254369999999966</v>
      </c>
      <c r="U296" s="311">
        <f t="shared" ca="1" si="118"/>
        <v>0</v>
      </c>
      <c r="V296" s="306">
        <f t="shared" ca="1" si="119"/>
        <v>1.0839730663367033</v>
      </c>
      <c r="W296" s="304">
        <f t="shared" ca="1" si="120"/>
        <v>8.8433939707690996</v>
      </c>
      <c r="Y296" s="314" t="str">
        <f t="shared" ca="1" si="138"/>
        <v/>
      </c>
      <c r="Z296" s="315" t="str">
        <f t="shared" ca="1" si="139"/>
        <v/>
      </c>
      <c r="AA296" s="316" t="str">
        <f t="shared" ca="1" si="140"/>
        <v/>
      </c>
      <c r="AC296" s="310" t="e">
        <f t="shared" ca="1" si="141"/>
        <v>#N/A</v>
      </c>
      <c r="AD296" s="323" t="e">
        <f t="shared" ca="1" si="142"/>
        <v>#N/A</v>
      </c>
      <c r="AE296" s="324">
        <f t="shared" ca="1" si="121"/>
        <v>1221.5554674012972</v>
      </c>
      <c r="AG296" s="306">
        <f t="shared" ca="1" si="143"/>
        <v>-9.7367227881702796</v>
      </c>
      <c r="AH296" s="304">
        <f t="shared" ca="1" si="144"/>
        <v>-1.1528803908320229</v>
      </c>
    </row>
    <row r="297" spans="1:34" x14ac:dyDescent="0.2">
      <c r="A297" s="347">
        <f t="shared" ca="1" si="122"/>
        <v>0.1</v>
      </c>
      <c r="B297" s="304">
        <f t="shared" ca="1" si="123"/>
        <v>11.299999999999978</v>
      </c>
      <c r="D297" s="306">
        <f t="shared" ca="1" si="124"/>
        <v>-0.54593061018295952</v>
      </c>
      <c r="E297" s="307">
        <f t="shared" ca="1" si="125"/>
        <v>-10.774872653048385</v>
      </c>
      <c r="F297" s="304">
        <f t="shared" ca="1" si="126"/>
        <v>10.788694124895036</v>
      </c>
      <c r="G297" s="306">
        <f t="shared" ca="1" si="127"/>
        <v>24.418648069394678</v>
      </c>
      <c r="H297" s="307">
        <f t="shared" ca="1" si="128"/>
        <v>42.176290152086601</v>
      </c>
      <c r="I297" s="304">
        <f t="shared" ca="1" si="129"/>
        <v>48.735098486921615</v>
      </c>
      <c r="J297" s="306">
        <f t="shared" ca="1" si="130"/>
        <v>325.18777258408687</v>
      </c>
      <c r="K297" s="307">
        <f t="shared" ca="1" si="131"/>
        <v>1225.826970779771</v>
      </c>
      <c r="L297" s="304">
        <f t="shared" ca="1" si="116"/>
        <v>1268.2266555033882</v>
      </c>
      <c r="M297" s="306">
        <f t="shared" ca="1" si="132"/>
        <v>1.0459864221666642</v>
      </c>
      <c r="N297" s="304">
        <f t="shared" ca="1" si="133"/>
        <v>59.930607418139033</v>
      </c>
      <c r="P297" s="310">
        <f t="shared" ca="1" si="134"/>
        <v>23</v>
      </c>
      <c r="Q297" s="304">
        <f t="shared" ca="1" si="135"/>
        <v>0</v>
      </c>
      <c r="R297" s="306">
        <f t="shared" ca="1" si="136"/>
        <v>0</v>
      </c>
      <c r="S297" s="307">
        <f t="shared" ca="1" si="137"/>
        <v>7.9769999999999968</v>
      </c>
      <c r="T297" s="304">
        <f t="shared" ca="1" si="117"/>
        <v>78.254369999999966</v>
      </c>
      <c r="U297" s="311">
        <f t="shared" ca="1" si="118"/>
        <v>0</v>
      </c>
      <c r="V297" s="306">
        <f t="shared" ca="1" si="119"/>
        <v>1.0835084066432441</v>
      </c>
      <c r="W297" s="304">
        <f t="shared" ca="1" si="120"/>
        <v>8.5006006512222001</v>
      </c>
      <c r="Y297" s="314" t="str">
        <f t="shared" ca="1" si="138"/>
        <v/>
      </c>
      <c r="Z297" s="315" t="str">
        <f t="shared" ca="1" si="139"/>
        <v/>
      </c>
      <c r="AA297" s="316" t="str">
        <f t="shared" ca="1" si="140"/>
        <v/>
      </c>
      <c r="AC297" s="310" t="e">
        <f t="shared" ca="1" si="141"/>
        <v>#N/A</v>
      </c>
      <c r="AD297" s="323" t="e">
        <f t="shared" ca="1" si="142"/>
        <v>#N/A</v>
      </c>
      <c r="AE297" s="324">
        <f t="shared" ca="1" si="121"/>
        <v>1225.826970779771</v>
      </c>
      <c r="AG297" s="306">
        <f t="shared" ca="1" si="143"/>
        <v>-9.6466797895283261</v>
      </c>
      <c r="AH297" s="304">
        <f t="shared" ca="1" si="144"/>
        <v>-1.1086115044213494</v>
      </c>
    </row>
    <row r="298" spans="1:34" x14ac:dyDescent="0.2">
      <c r="A298" s="347">
        <f t="shared" ca="1" si="122"/>
        <v>0.1</v>
      </c>
      <c r="B298" s="304">
        <f t="shared" ca="1" si="123"/>
        <v>11.399999999999977</v>
      </c>
      <c r="D298" s="306">
        <f t="shared" ca="1" si="124"/>
        <v>-0.53393672038428797</v>
      </c>
      <c r="E298" s="307">
        <f t="shared" ca="1" si="125"/>
        <v>-10.732224276208241</v>
      </c>
      <c r="F298" s="304">
        <f t="shared" ca="1" si="126"/>
        <v>10.745497956642504</v>
      </c>
      <c r="G298" s="306">
        <f t="shared" ca="1" si="127"/>
        <v>24.365254397356249</v>
      </c>
      <c r="H298" s="307">
        <f t="shared" ca="1" si="128"/>
        <v>41.103067724465774</v>
      </c>
      <c r="I298" s="304">
        <f t="shared" ca="1" si="129"/>
        <v>47.782086582838851</v>
      </c>
      <c r="J298" s="306">
        <f t="shared" ca="1" si="130"/>
        <v>327.6269677074244</v>
      </c>
      <c r="K298" s="307">
        <f t="shared" ca="1" si="131"/>
        <v>1229.9909386735987</v>
      </c>
      <c r="L298" s="304">
        <f t="shared" ca="1" si="116"/>
        <v>1272.8775036068168</v>
      </c>
      <c r="M298" s="306">
        <f t="shared" ca="1" si="132"/>
        <v>1.0356993609582563</v>
      </c>
      <c r="N298" s="304">
        <f t="shared" ca="1" si="133"/>
        <v>59.341202227304514</v>
      </c>
      <c r="P298" s="310">
        <f t="shared" ca="1" si="134"/>
        <v>23</v>
      </c>
      <c r="Q298" s="304">
        <f t="shared" ca="1" si="135"/>
        <v>0</v>
      </c>
      <c r="R298" s="306">
        <f t="shared" ca="1" si="136"/>
        <v>0</v>
      </c>
      <c r="S298" s="307">
        <f t="shared" ca="1" si="137"/>
        <v>7.9769999999999968</v>
      </c>
      <c r="T298" s="304">
        <f t="shared" ca="1" si="117"/>
        <v>78.254369999999966</v>
      </c>
      <c r="U298" s="311">
        <f t="shared" ca="1" si="118"/>
        <v>0</v>
      </c>
      <c r="V298" s="306">
        <f t="shared" ca="1" si="119"/>
        <v>1.0830556247783969</v>
      </c>
      <c r="W298" s="304">
        <f t="shared" ca="1" si="120"/>
        <v>8.1679790780041444</v>
      </c>
      <c r="Y298" s="314" t="str">
        <f t="shared" ca="1" si="138"/>
        <v/>
      </c>
      <c r="Z298" s="315" t="str">
        <f t="shared" ca="1" si="139"/>
        <v/>
      </c>
      <c r="AA298" s="316" t="str">
        <f t="shared" ca="1" si="140"/>
        <v/>
      </c>
      <c r="AC298" s="310" t="e">
        <f t="shared" ca="1" si="141"/>
        <v>#N/A</v>
      </c>
      <c r="AD298" s="323" t="e">
        <f t="shared" ca="1" si="142"/>
        <v>#N/A</v>
      </c>
      <c r="AE298" s="324">
        <f t="shared" ca="1" si="121"/>
        <v>1229.9909386735987</v>
      </c>
      <c r="AG298" s="306">
        <f t="shared" ca="1" si="143"/>
        <v>-9.5554011867234898</v>
      </c>
      <c r="AH298" s="304">
        <f t="shared" ca="1" si="144"/>
        <v>-1.0656387929324562</v>
      </c>
    </row>
    <row r="299" spans="1:34" x14ac:dyDescent="0.2">
      <c r="A299" s="347">
        <f t="shared" ca="1" si="122"/>
        <v>0.1</v>
      </c>
      <c r="B299" s="304">
        <f t="shared" ca="1" si="123"/>
        <v>11.499999999999977</v>
      </c>
      <c r="D299" s="306">
        <f t="shared" ca="1" si="124"/>
        <v>-0.52213266505914269</v>
      </c>
      <c r="E299" s="307">
        <f t="shared" ca="1" si="125"/>
        <v>-10.690813881237801</v>
      </c>
      <c r="F299" s="304">
        <f t="shared" ca="1" si="126"/>
        <v>10.703556603446755</v>
      </c>
      <c r="G299" s="306">
        <f t="shared" ca="1" si="127"/>
        <v>24.313041130850337</v>
      </c>
      <c r="H299" s="307">
        <f t="shared" ca="1" si="128"/>
        <v>40.033986336341997</v>
      </c>
      <c r="I299" s="304">
        <f t="shared" ca="1" si="129"/>
        <v>46.838488778021414</v>
      </c>
      <c r="J299" s="306">
        <f t="shared" ca="1" si="130"/>
        <v>330.06088248383475</v>
      </c>
      <c r="K299" s="307">
        <f t="shared" ca="1" si="131"/>
        <v>1234.0477913766392</v>
      </c>
      <c r="L299" s="304">
        <f t="shared" ca="1" si="116"/>
        <v>1277.4248070033591</v>
      </c>
      <c r="M299" s="306">
        <f t="shared" ca="1" si="132"/>
        <v>1.0250191402181383</v>
      </c>
      <c r="N299" s="304">
        <f t="shared" ca="1" si="133"/>
        <v>58.729270654627669</v>
      </c>
      <c r="P299" s="310">
        <f t="shared" ca="1" si="134"/>
        <v>23</v>
      </c>
      <c r="Q299" s="304">
        <f t="shared" ca="1" si="135"/>
        <v>0</v>
      </c>
      <c r="R299" s="306">
        <f t="shared" ca="1" si="136"/>
        <v>0</v>
      </c>
      <c r="S299" s="307">
        <f t="shared" ca="1" si="137"/>
        <v>7.9769999999999968</v>
      </c>
      <c r="T299" s="304">
        <f t="shared" ca="1" si="117"/>
        <v>78.254369999999966</v>
      </c>
      <c r="U299" s="311">
        <f t="shared" ca="1" si="118"/>
        <v>0</v>
      </c>
      <c r="V299" s="306">
        <f t="shared" ca="1" si="119"/>
        <v>1.0826146611998957</v>
      </c>
      <c r="W299" s="304">
        <f t="shared" ca="1" si="120"/>
        <v>7.8453673814288907</v>
      </c>
      <c r="Y299" s="314" t="str">
        <f t="shared" ca="1" si="138"/>
        <v/>
      </c>
      <c r="Z299" s="315" t="str">
        <f t="shared" ca="1" si="139"/>
        <v/>
      </c>
      <c r="AA299" s="316" t="str">
        <f t="shared" ca="1" si="140"/>
        <v/>
      </c>
      <c r="AC299" s="310" t="e">
        <f t="shared" ca="1" si="141"/>
        <v>#N/A</v>
      </c>
      <c r="AD299" s="323" t="e">
        <f t="shared" ca="1" si="142"/>
        <v>#N/A</v>
      </c>
      <c r="AE299" s="324">
        <f t="shared" ca="1" si="121"/>
        <v>1234.0477913766392</v>
      </c>
      <c r="AG299" s="306">
        <f t="shared" ca="1" si="143"/>
        <v>-9.4626914506890216</v>
      </c>
      <c r="AH299" s="304">
        <f t="shared" ca="1" si="144"/>
        <v>-1.0239412157457877</v>
      </c>
    </row>
    <row r="300" spans="1:34" x14ac:dyDescent="0.2">
      <c r="A300" s="347">
        <f t="shared" ca="1" si="122"/>
        <v>0.1</v>
      </c>
      <c r="B300" s="304">
        <f t="shared" ca="1" si="123"/>
        <v>11.599999999999977</v>
      </c>
      <c r="D300" s="306">
        <f t="shared" ca="1" si="124"/>
        <v>-0.51051687703694049</v>
      </c>
      <c r="E300" s="307">
        <f t="shared" ca="1" si="125"/>
        <v>-10.650619878433696</v>
      </c>
      <c r="F300" s="304">
        <f t="shared" ca="1" si="126"/>
        <v>10.662848178447753</v>
      </c>
      <c r="G300" s="306">
        <f t="shared" ca="1" si="127"/>
        <v>24.261989443146643</v>
      </c>
      <c r="H300" s="307">
        <f t="shared" ca="1" si="128"/>
        <v>38.968924348498625</v>
      </c>
      <c r="I300" s="304">
        <f t="shared" ca="1" si="129"/>
        <v>45.904479047456448</v>
      </c>
      <c r="J300" s="306">
        <f t="shared" ca="1" si="130"/>
        <v>332.48963401253462</v>
      </c>
      <c r="K300" s="307">
        <f t="shared" ca="1" si="131"/>
        <v>1237.9979369108812</v>
      </c>
      <c r="L300" s="304">
        <f t="shared" ca="1" si="116"/>
        <v>1281.8690449969479</v>
      </c>
      <c r="M300" s="306">
        <f t="shared" ca="1" si="132"/>
        <v>1.013925878424081</v>
      </c>
      <c r="N300" s="304">
        <f t="shared" ca="1" si="133"/>
        <v>58.093673572794458</v>
      </c>
      <c r="P300" s="310">
        <f t="shared" ca="1" si="134"/>
        <v>23</v>
      </c>
      <c r="Q300" s="304">
        <f t="shared" ca="1" si="135"/>
        <v>0</v>
      </c>
      <c r="R300" s="306">
        <f t="shared" ca="1" si="136"/>
        <v>0</v>
      </c>
      <c r="S300" s="307">
        <f t="shared" ca="1" si="137"/>
        <v>7.9769999999999968</v>
      </c>
      <c r="T300" s="304">
        <f t="shared" ca="1" si="117"/>
        <v>78.254369999999966</v>
      </c>
      <c r="U300" s="311">
        <f t="shared" ca="1" si="118"/>
        <v>0</v>
      </c>
      <c r="V300" s="306">
        <f t="shared" ca="1" si="119"/>
        <v>1.082185458137735</v>
      </c>
      <c r="W300" s="304">
        <f t="shared" ca="1" si="120"/>
        <v>7.5326094831981747</v>
      </c>
      <c r="Y300" s="314" t="str">
        <f t="shared" ca="1" si="138"/>
        <v/>
      </c>
      <c r="Z300" s="315" t="str">
        <f t="shared" ca="1" si="139"/>
        <v/>
      </c>
      <c r="AA300" s="316" t="str">
        <f t="shared" ca="1" si="140"/>
        <v/>
      </c>
      <c r="AC300" s="310" t="e">
        <f t="shared" ca="1" si="141"/>
        <v>#N/A</v>
      </c>
      <c r="AD300" s="323" t="e">
        <f t="shared" ca="1" si="142"/>
        <v>#N/A</v>
      </c>
      <c r="AE300" s="324">
        <f t="shared" ca="1" si="121"/>
        <v>1237.9979369108812</v>
      </c>
      <c r="AG300" s="306">
        <f t="shared" ca="1" si="143"/>
        <v>-9.3683421468986943</v>
      </c>
      <c r="AH300" s="304">
        <f t="shared" ca="1" si="144"/>
        <v>-0.98349848081094315</v>
      </c>
    </row>
    <row r="301" spans="1:34" x14ac:dyDescent="0.2">
      <c r="A301" s="347">
        <f t="shared" ca="1" si="122"/>
        <v>0.1</v>
      </c>
      <c r="B301" s="304">
        <f t="shared" ca="1" si="123"/>
        <v>11.699999999999976</v>
      </c>
      <c r="D301" s="306">
        <f t="shared" ca="1" si="124"/>
        <v>-0.49908809084793126</v>
      </c>
      <c r="E301" s="307">
        <f t="shared" ca="1" si="125"/>
        <v>-10.611621239720037</v>
      </c>
      <c r="F301" s="304">
        <f t="shared" ca="1" si="126"/>
        <v>10.623351366574658</v>
      </c>
      <c r="G301" s="306">
        <f t="shared" ca="1" si="127"/>
        <v>24.212080634061849</v>
      </c>
      <c r="H301" s="307">
        <f t="shared" ca="1" si="128"/>
        <v>37.907762224526621</v>
      </c>
      <c r="I301" s="304">
        <f t="shared" ca="1" si="129"/>
        <v>44.980254395696349</v>
      </c>
      <c r="J301" s="306">
        <f t="shared" ca="1" si="130"/>
        <v>334.91333751639507</v>
      </c>
      <c r="K301" s="307">
        <f t="shared" ca="1" si="131"/>
        <v>1241.8417712395324</v>
      </c>
      <c r="L301" s="304">
        <f t="shared" ca="1" si="116"/>
        <v>1286.2106858682639</v>
      </c>
      <c r="M301" s="306">
        <f t="shared" ca="1" si="132"/>
        <v>1.0023985659867636</v>
      </c>
      <c r="N301" s="304">
        <f t="shared" ca="1" si="133"/>
        <v>57.433207221007507</v>
      </c>
      <c r="P301" s="310">
        <f t="shared" ca="1" si="134"/>
        <v>23</v>
      </c>
      <c r="Q301" s="304">
        <f t="shared" ca="1" si="135"/>
        <v>0</v>
      </c>
      <c r="R301" s="306">
        <f t="shared" ca="1" si="136"/>
        <v>0</v>
      </c>
      <c r="S301" s="307">
        <f t="shared" ca="1" si="137"/>
        <v>7.9769999999999968</v>
      </c>
      <c r="T301" s="304">
        <f t="shared" ca="1" si="117"/>
        <v>78.254369999999966</v>
      </c>
      <c r="U301" s="311">
        <f t="shared" ca="1" si="118"/>
        <v>0</v>
      </c>
      <c r="V301" s="306">
        <f t="shared" ca="1" si="119"/>
        <v>1.0817679595628911</v>
      </c>
      <c r="W301" s="304">
        <f t="shared" ca="1" si="120"/>
        <v>7.2295549237937049</v>
      </c>
      <c r="Y301" s="314" t="str">
        <f t="shared" ca="1" si="138"/>
        <v/>
      </c>
      <c r="Z301" s="315" t="str">
        <f t="shared" ca="1" si="139"/>
        <v/>
      </c>
      <c r="AA301" s="316" t="str">
        <f t="shared" ca="1" si="140"/>
        <v/>
      </c>
      <c r="AC301" s="310" t="e">
        <f t="shared" ca="1" si="141"/>
        <v>#N/A</v>
      </c>
      <c r="AD301" s="323" t="e">
        <f t="shared" ca="1" si="142"/>
        <v>#N/A</v>
      </c>
      <c r="AE301" s="324">
        <f t="shared" ca="1" si="121"/>
        <v>1241.8417712395324</v>
      </c>
      <c r="AG301" s="306">
        <f t="shared" ca="1" si="143"/>
        <v>-9.2721308275147081</v>
      </c>
      <c r="AH301" s="304">
        <f t="shared" ca="1" si="144"/>
        <v>-0.94429102208827598</v>
      </c>
    </row>
    <row r="302" spans="1:34" x14ac:dyDescent="0.2">
      <c r="A302" s="347">
        <f t="shared" ca="1" si="122"/>
        <v>0.1</v>
      </c>
      <c r="B302" s="304">
        <f t="shared" ca="1" si="123"/>
        <v>11.799999999999976</v>
      </c>
      <c r="D302" s="306">
        <f t="shared" ca="1" si="124"/>
        <v>-0.4878453543366803</v>
      </c>
      <c r="E302" s="307">
        <f t="shared" ca="1" si="125"/>
        <v>-10.573797460203336</v>
      </c>
      <c r="F302" s="304">
        <f t="shared" ca="1" si="126"/>
        <v>10.585045385786042</v>
      </c>
      <c r="G302" s="306">
        <f t="shared" ca="1" si="127"/>
        <v>24.16329609862818</v>
      </c>
      <c r="H302" s="307">
        <f t="shared" ca="1" si="128"/>
        <v>36.85038247850629</v>
      </c>
      <c r="I302" s="304">
        <f t="shared" ca="1" si="129"/>
        <v>44.066036435810553</v>
      </c>
      <c r="J302" s="306">
        <f t="shared" ca="1" si="130"/>
        <v>337.33210635302959</v>
      </c>
      <c r="K302" s="307">
        <f t="shared" ca="1" si="131"/>
        <v>1245.579678474684</v>
      </c>
      <c r="L302" s="304">
        <f t="shared" ca="1" si="116"/>
        <v>1290.4501871074563</v>
      </c>
      <c r="M302" s="306">
        <f t="shared" ca="1" si="132"/>
        <v>0.99041501254581044</v>
      </c>
      <c r="N302" s="304">
        <f t="shared" ca="1" si="133"/>
        <v>56.746600185271419</v>
      </c>
      <c r="P302" s="310">
        <f t="shared" ca="1" si="134"/>
        <v>23</v>
      </c>
      <c r="Q302" s="304">
        <f t="shared" ca="1" si="135"/>
        <v>0</v>
      </c>
      <c r="R302" s="306">
        <f t="shared" ca="1" si="136"/>
        <v>0</v>
      </c>
      <c r="S302" s="307">
        <f t="shared" ca="1" si="137"/>
        <v>7.9769999999999968</v>
      </c>
      <c r="T302" s="304">
        <f t="shared" ca="1" si="117"/>
        <v>78.254369999999966</v>
      </c>
      <c r="U302" s="311">
        <f t="shared" ca="1" si="118"/>
        <v>0</v>
      </c>
      <c r="V302" s="306">
        <f t="shared" ca="1" si="119"/>
        <v>1.0813621111569469</v>
      </c>
      <c r="W302" s="304">
        <f t="shared" ca="1" si="120"/>
        <v>6.9360586968362865</v>
      </c>
      <c r="Y302" s="314" t="str">
        <f t="shared" ca="1" si="138"/>
        <v/>
      </c>
      <c r="Z302" s="315" t="str">
        <f t="shared" ca="1" si="139"/>
        <v/>
      </c>
      <c r="AA302" s="316" t="str">
        <f t="shared" ca="1" si="140"/>
        <v/>
      </c>
      <c r="AC302" s="310" t="e">
        <f t="shared" ca="1" si="141"/>
        <v>#N/A</v>
      </c>
      <c r="AD302" s="323" t="e">
        <f t="shared" ca="1" si="142"/>
        <v>#N/A</v>
      </c>
      <c r="AE302" s="324">
        <f t="shared" ca="1" si="121"/>
        <v>1245.579678474684</v>
      </c>
      <c r="AG302" s="306">
        <f t="shared" ca="1" si="143"/>
        <v>-9.173819857882453</v>
      </c>
      <c r="AH302" s="304">
        <f t="shared" ca="1" si="144"/>
        <v>-0.90629997791070671</v>
      </c>
    </row>
    <row r="303" spans="1:34" x14ac:dyDescent="0.2">
      <c r="A303" s="347">
        <f t="shared" ca="1" si="122"/>
        <v>0.1</v>
      </c>
      <c r="B303" s="304">
        <f t="shared" ca="1" si="123"/>
        <v>11.899999999999975</v>
      </c>
      <c r="D303" s="306">
        <f t="shared" ca="1" si="124"/>
        <v>-0.47678804161306204</v>
      </c>
      <c r="E303" s="307">
        <f t="shared" ca="1" si="125"/>
        <v>-10.537128518514359</v>
      </c>
      <c r="F303" s="304">
        <f t="shared" ca="1" si="126"/>
        <v>10.547909947108661</v>
      </c>
      <c r="G303" s="306">
        <f t="shared" ca="1" si="127"/>
        <v>24.115617294466873</v>
      </c>
      <c r="H303" s="307">
        <f t="shared" ca="1" si="128"/>
        <v>35.796669626654854</v>
      </c>
      <c r="I303" s="304">
        <f t="shared" ca="1" si="129"/>
        <v>43.162073094941398</v>
      </c>
      <c r="J303" s="306">
        <f t="shared" ca="1" si="130"/>
        <v>339.74605202268435</v>
      </c>
      <c r="K303" s="307">
        <f t="shared" ca="1" si="131"/>
        <v>1249.2120310799421</v>
      </c>
      <c r="L303" s="304">
        <f t="shared" ca="1" si="116"/>
        <v>1294.5879956418082</v>
      </c>
      <c r="M303" s="306">
        <f t="shared" ca="1" si="132"/>
        <v>0.97795179598360649</v>
      </c>
      <c r="N303" s="304">
        <f t="shared" ca="1" si="133"/>
        <v>56.032510477099585</v>
      </c>
      <c r="P303" s="310">
        <f t="shared" ca="1" si="134"/>
        <v>23</v>
      </c>
      <c r="Q303" s="304">
        <f t="shared" ca="1" si="135"/>
        <v>0</v>
      </c>
      <c r="R303" s="306">
        <f t="shared" ca="1" si="136"/>
        <v>0</v>
      </c>
      <c r="S303" s="307">
        <f t="shared" ca="1" si="137"/>
        <v>7.9769999999999968</v>
      </c>
      <c r="T303" s="304">
        <f t="shared" ca="1" si="117"/>
        <v>78.254369999999966</v>
      </c>
      <c r="U303" s="311">
        <f t="shared" ca="1" si="118"/>
        <v>0</v>
      </c>
      <c r="V303" s="306">
        <f t="shared" ca="1" si="119"/>
        <v>1.0809678602825672</v>
      </c>
      <c r="W303" s="304">
        <f t="shared" ca="1" si="120"/>
        <v>6.6519810900498992</v>
      </c>
      <c r="Y303" s="314" t="str">
        <f t="shared" ca="1" si="138"/>
        <v/>
      </c>
      <c r="Z303" s="315" t="str">
        <f t="shared" ca="1" si="139"/>
        <v/>
      </c>
      <c r="AA303" s="316" t="str">
        <f t="shared" ca="1" si="140"/>
        <v/>
      </c>
      <c r="AC303" s="310" t="e">
        <f t="shared" ca="1" si="141"/>
        <v>#N/A</v>
      </c>
      <c r="AD303" s="323" t="e">
        <f t="shared" ca="1" si="142"/>
        <v>#N/A</v>
      </c>
      <c r="AE303" s="324">
        <f t="shared" ca="1" si="121"/>
        <v>1249.2120310799421</v>
      </c>
      <c r="AG303" s="306">
        <f t="shared" ca="1" si="143"/>
        <v>-9.0731551801944494</v>
      </c>
      <c r="AH303" s="304">
        <f t="shared" ca="1" si="144"/>
        <v>-0.86950717021891555</v>
      </c>
    </row>
    <row r="304" spans="1:34" x14ac:dyDescent="0.2">
      <c r="A304" s="347">
        <f t="shared" ca="1" si="122"/>
        <v>0.1</v>
      </c>
      <c r="B304" s="304">
        <f t="shared" ca="1" si="123"/>
        <v>11.999999999999975</v>
      </c>
      <c r="D304" s="306">
        <f t="shared" ca="1" si="124"/>
        <v>-0.46591586739375584</v>
      </c>
      <c r="E304" s="307">
        <f t="shared" ca="1" si="125"/>
        <v>-10.501594835631154</v>
      </c>
      <c r="F304" s="304">
        <f t="shared" ca="1" si="126"/>
        <v>10.511925213168338</v>
      </c>
      <c r="G304" s="306">
        <f t="shared" ca="1" si="127"/>
        <v>24.069025707727498</v>
      </c>
      <c r="H304" s="307">
        <f t="shared" ca="1" si="128"/>
        <v>34.74651014309174</v>
      </c>
      <c r="I304" s="304">
        <f t="shared" ca="1" si="129"/>
        <v>42.26864045179623</v>
      </c>
      <c r="J304" s="306">
        <f t="shared" ca="1" si="130"/>
        <v>342.1552841727941</v>
      </c>
      <c r="K304" s="307">
        <f t="shared" ca="1" si="131"/>
        <v>1252.7391900684295</v>
      </c>
      <c r="L304" s="304">
        <f t="shared" ca="1" si="116"/>
        <v>1298.6245480587029</v>
      </c>
      <c r="M304" s="306">
        <f t="shared" ca="1" si="132"/>
        <v>0.96498421445241067</v>
      </c>
      <c r="N304" s="304">
        <f t="shared" ca="1" si="133"/>
        <v>55.289522784870272</v>
      </c>
      <c r="P304" s="310">
        <f t="shared" ca="1" si="134"/>
        <v>23</v>
      </c>
      <c r="Q304" s="304">
        <f t="shared" ca="1" si="135"/>
        <v>0</v>
      </c>
      <c r="R304" s="306">
        <f t="shared" ca="1" si="136"/>
        <v>0</v>
      </c>
      <c r="S304" s="307">
        <f t="shared" ca="1" si="137"/>
        <v>7.9769999999999968</v>
      </c>
      <c r="T304" s="304">
        <f t="shared" ca="1" si="117"/>
        <v>78.254369999999966</v>
      </c>
      <c r="U304" s="311">
        <f t="shared" ca="1" si="118"/>
        <v>0</v>
      </c>
      <c r="V304" s="306">
        <f t="shared" ca="1" si="119"/>
        <v>1.0805851559547712</v>
      </c>
      <c r="W304" s="304">
        <f t="shared" ca="1" si="120"/>
        <v>6.3771875324787661</v>
      </c>
      <c r="Y304" s="314" t="str">
        <f t="shared" ca="1" si="138"/>
        <v/>
      </c>
      <c r="Z304" s="315" t="str">
        <f t="shared" ca="1" si="139"/>
        <v/>
      </c>
      <c r="AA304" s="316" t="str">
        <f t="shared" ca="1" si="140"/>
        <v/>
      </c>
      <c r="AC304" s="310">
        <f t="shared" ca="1" si="141"/>
        <v>11.999999999999975</v>
      </c>
      <c r="AD304" s="323">
        <f t="shared" ca="1" si="142"/>
        <v>342.1552841727941</v>
      </c>
      <c r="AE304" s="324">
        <f t="shared" ca="1" si="121"/>
        <v>1252.7391900684295</v>
      </c>
      <c r="AG304" s="306">
        <f t="shared" ca="1" si="143"/>
        <v>-8.9698650197350123</v>
      </c>
      <c r="AH304" s="304">
        <f t="shared" ca="1" si="144"/>
        <v>-0.83389508462453332</v>
      </c>
    </row>
    <row r="305" spans="1:34" x14ac:dyDescent="0.2">
      <c r="A305" s="347">
        <f t="shared" ca="1" si="122"/>
        <v>0.1</v>
      </c>
      <c r="B305" s="304">
        <f t="shared" ca="1" si="123"/>
        <v>12.099999999999975</v>
      </c>
      <c r="D305" s="306">
        <f t="shared" ca="1" si="124"/>
        <v>-0.45522890277995459</v>
      </c>
      <c r="E305" s="307">
        <f t="shared" ca="1" si="125"/>
        <v>-10.467177231847565</v>
      </c>
      <c r="F305" s="304">
        <f t="shared" ca="1" si="126"/>
        <v>10.477071754876659</v>
      </c>
      <c r="G305" s="306">
        <f t="shared" ca="1" si="127"/>
        <v>24.023502817449501</v>
      </c>
      <c r="H305" s="307">
        <f t="shared" ca="1" si="128"/>
        <v>33.699792419906984</v>
      </c>
      <c r="I305" s="304">
        <f t="shared" ca="1" si="129"/>
        <v>41.386044710322636</v>
      </c>
      <c r="J305" s="306">
        <f t="shared" ca="1" si="130"/>
        <v>344.55991059905296</v>
      </c>
      <c r="K305" s="307">
        <f t="shared" ca="1" si="131"/>
        <v>1256.1615051965794</v>
      </c>
      <c r="L305" s="304">
        <f t="shared" ca="1" si="116"/>
        <v>1302.5602708242575</v>
      </c>
      <c r="M305" s="306">
        <f t="shared" ca="1" si="132"/>
        <v>0.95148624303467388</v>
      </c>
      <c r="N305" s="304">
        <f t="shared" ca="1" si="133"/>
        <v>54.516145990645732</v>
      </c>
      <c r="P305" s="310">
        <f t="shared" ca="1" si="134"/>
        <v>23</v>
      </c>
      <c r="Q305" s="304">
        <f t="shared" ca="1" si="135"/>
        <v>0</v>
      </c>
      <c r="R305" s="306">
        <f t="shared" ca="1" si="136"/>
        <v>0</v>
      </c>
      <c r="S305" s="307">
        <f t="shared" ca="1" si="137"/>
        <v>7.9769999999999968</v>
      </c>
      <c r="T305" s="304">
        <f t="shared" ca="1" si="117"/>
        <v>78.254369999999966</v>
      </c>
      <c r="U305" s="311">
        <f t="shared" ca="1" si="118"/>
        <v>0</v>
      </c>
      <c r="V305" s="306">
        <f t="shared" ca="1" si="119"/>
        <v>1.080213948812949</v>
      </c>
      <c r="W305" s="304">
        <f t="shared" ca="1" si="120"/>
        <v>6.1115484476138997</v>
      </c>
      <c r="Y305" s="314" t="str">
        <f t="shared" ca="1" si="138"/>
        <v/>
      </c>
      <c r="Z305" s="315" t="str">
        <f t="shared" ca="1" si="139"/>
        <v/>
      </c>
      <c r="AA305" s="316" t="str">
        <f t="shared" ca="1" si="140"/>
        <v/>
      </c>
      <c r="AC305" s="310" t="e">
        <f t="shared" ca="1" si="141"/>
        <v>#N/A</v>
      </c>
      <c r="AD305" s="323" t="e">
        <f t="shared" ca="1" si="142"/>
        <v>#N/A</v>
      </c>
      <c r="AE305" s="324">
        <f t="shared" ca="1" si="121"/>
        <v>1256.1615051965794</v>
      </c>
      <c r="AG305" s="306">
        <f t="shared" ca="1" si="143"/>
        <v>-8.8636585424862044</v>
      </c>
      <c r="AH305" s="304">
        <f t="shared" ca="1" si="144"/>
        <v>-0.7994468512572106</v>
      </c>
    </row>
    <row r="306" spans="1:34" x14ac:dyDescent="0.2">
      <c r="A306" s="347">
        <f t="shared" ca="1" si="122"/>
        <v>0.1</v>
      </c>
      <c r="B306" s="304">
        <f t="shared" ca="1" si="123"/>
        <v>12.199999999999974</v>
      </c>
      <c r="D306" s="306">
        <f t="shared" ca="1" si="124"/>
        <v>-0.44472759250576205</v>
      </c>
      <c r="E306" s="307">
        <f t="shared" ca="1" si="125"/>
        <v>-10.433856881518675</v>
      </c>
      <c r="F306" s="304">
        <f t="shared" ca="1" si="126"/>
        <v>10.443330505904264</v>
      </c>
      <c r="G306" s="306">
        <f t="shared" ca="1" si="127"/>
        <v>23.979030058198923</v>
      </c>
      <c r="H306" s="307">
        <f t="shared" ca="1" si="128"/>
        <v>32.656406731755119</v>
      </c>
      <c r="I306" s="304">
        <f t="shared" ca="1" si="129"/>
        <v>40.514624312238517</v>
      </c>
      <c r="J306" s="306">
        <f t="shared" ca="1" si="130"/>
        <v>346.96003724283537</v>
      </c>
      <c r="K306" s="307">
        <f t="shared" ca="1" si="131"/>
        <v>1259.4793151541624</v>
      </c>
      <c r="L306" s="304">
        <f t="shared" ca="1" si="116"/>
        <v>1306.3955804980158</v>
      </c>
      <c r="M306" s="306">
        <f t="shared" ca="1" si="132"/>
        <v>0.93743049704291481</v>
      </c>
      <c r="N306" s="304">
        <f t="shared" ca="1" si="133"/>
        <v>53.71081106741002</v>
      </c>
      <c r="P306" s="310">
        <f t="shared" ca="1" si="134"/>
        <v>23</v>
      </c>
      <c r="Q306" s="304">
        <f t="shared" ca="1" si="135"/>
        <v>0</v>
      </c>
      <c r="R306" s="306">
        <f t="shared" ca="1" si="136"/>
        <v>0</v>
      </c>
      <c r="S306" s="307">
        <f t="shared" ca="1" si="137"/>
        <v>7.9769999999999968</v>
      </c>
      <c r="T306" s="304">
        <f t="shared" ca="1" si="117"/>
        <v>78.254369999999966</v>
      </c>
      <c r="U306" s="311">
        <f t="shared" ca="1" si="118"/>
        <v>0</v>
      </c>
      <c r="V306" s="306">
        <f t="shared" ca="1" si="119"/>
        <v>1.079854191093564</v>
      </c>
      <c r="W306" s="304">
        <f t="shared" ca="1" si="120"/>
        <v>5.8549391120921301</v>
      </c>
      <c r="Y306" s="314" t="str">
        <f t="shared" ca="1" si="138"/>
        <v/>
      </c>
      <c r="Z306" s="315" t="str">
        <f t="shared" ca="1" si="139"/>
        <v/>
      </c>
      <c r="AA306" s="316" t="str">
        <f t="shared" ca="1" si="140"/>
        <v/>
      </c>
      <c r="AC306" s="310" t="e">
        <f t="shared" ca="1" si="141"/>
        <v>#N/A</v>
      </c>
      <c r="AD306" s="323" t="e">
        <f t="shared" ca="1" si="142"/>
        <v>#N/A</v>
      </c>
      <c r="AE306" s="324">
        <f t="shared" ca="1" si="121"/>
        <v>1259.4793151541624</v>
      </c>
      <c r="AG306" s="306">
        <f t="shared" ca="1" si="143"/>
        <v>-8.7542244772037954</v>
      </c>
      <c r="AH306" s="304">
        <f t="shared" ca="1" si="144"/>
        <v>-0.76614622635250118</v>
      </c>
    </row>
    <row r="307" spans="1:34" x14ac:dyDescent="0.2">
      <c r="A307" s="347">
        <f t="shared" ca="1" si="122"/>
        <v>0.1</v>
      </c>
      <c r="B307" s="304">
        <f t="shared" ca="1" si="123"/>
        <v>12.299999999999974</v>
      </c>
      <c r="D307" s="306">
        <f t="shared" ca="1" si="124"/>
        <v>-0.43441277367544556</v>
      </c>
      <c r="E307" s="307">
        <f t="shared" ca="1" si="125"/>
        <v>-10.401615265178945</v>
      </c>
      <c r="F307" s="304">
        <f t="shared" ca="1" si="126"/>
        <v>10.410682714535874</v>
      </c>
      <c r="G307" s="306">
        <f t="shared" ca="1" si="127"/>
        <v>23.935588780831377</v>
      </c>
      <c r="H307" s="307">
        <f t="shared" ca="1" si="128"/>
        <v>31.616245205237224</v>
      </c>
      <c r="I307" s="304">
        <f t="shared" ca="1" si="129"/>
        <v>39.654752188895934</v>
      </c>
      <c r="J307" s="306">
        <f t="shared" ca="1" si="130"/>
        <v>349.35576818478688</v>
      </c>
      <c r="K307" s="307">
        <f t="shared" ca="1" si="131"/>
        <v>1262.6929477510121</v>
      </c>
      <c r="L307" s="304">
        <f t="shared" ca="1" si="116"/>
        <v>1310.1308839440901</v>
      </c>
      <c r="M307" s="306">
        <f t="shared" ca="1" si="132"/>
        <v>0.92278820442231357</v>
      </c>
      <c r="N307" s="304">
        <f t="shared" ca="1" si="133"/>
        <v>52.871869497854014</v>
      </c>
      <c r="P307" s="310">
        <f t="shared" ca="1" si="134"/>
        <v>23</v>
      </c>
      <c r="Q307" s="304">
        <f t="shared" ca="1" si="135"/>
        <v>0</v>
      </c>
      <c r="R307" s="306">
        <f t="shared" ca="1" si="136"/>
        <v>0</v>
      </c>
      <c r="S307" s="307">
        <f t="shared" ca="1" si="137"/>
        <v>7.9769999999999968</v>
      </c>
      <c r="T307" s="304">
        <f t="shared" ca="1" si="117"/>
        <v>78.254369999999966</v>
      </c>
      <c r="U307" s="311">
        <f t="shared" ca="1" si="118"/>
        <v>0</v>
      </c>
      <c r="V307" s="306">
        <f t="shared" ca="1" si="119"/>
        <v>1.0795058366034864</v>
      </c>
      <c r="W307" s="304">
        <f t="shared" ca="1" si="120"/>
        <v>5.6072395196355105</v>
      </c>
      <c r="Y307" s="314" t="str">
        <f t="shared" ca="1" si="138"/>
        <v/>
      </c>
      <c r="Z307" s="315" t="str">
        <f t="shared" ca="1" si="139"/>
        <v/>
      </c>
      <c r="AA307" s="316" t="str">
        <f t="shared" ca="1" si="140"/>
        <v/>
      </c>
      <c r="AC307" s="310" t="e">
        <f t="shared" ca="1" si="141"/>
        <v>#N/A</v>
      </c>
      <c r="AD307" s="323" t="e">
        <f t="shared" ca="1" si="142"/>
        <v>#N/A</v>
      </c>
      <c r="AE307" s="324">
        <f t="shared" ca="1" si="121"/>
        <v>1262.6929477510121</v>
      </c>
      <c r="AG307" s="306">
        <f t="shared" ca="1" si="143"/>
        <v>-8.641229720567587</v>
      </c>
      <c r="AH307" s="304">
        <f t="shared" ca="1" si="144"/>
        <v>-0.73397757453831425</v>
      </c>
    </row>
    <row r="308" spans="1:34" x14ac:dyDescent="0.2">
      <c r="A308" s="347">
        <f t="shared" ca="1" si="122"/>
        <v>0.1</v>
      </c>
      <c r="B308" s="304">
        <f t="shared" ca="1" si="123"/>
        <v>12.399999999999974</v>
      </c>
      <c r="D308" s="306">
        <f t="shared" ca="1" si="124"/>
        <v>-0.42428569598506677</v>
      </c>
      <c r="E308" s="307">
        <f t="shared" ca="1" si="125"/>
        <v>-10.370434118590865</v>
      </c>
      <c r="F308" s="304">
        <f t="shared" ca="1" si="126"/>
        <v>10.379109892464335</v>
      </c>
      <c r="G308" s="306">
        <f t="shared" ca="1" si="127"/>
        <v>23.893160211232871</v>
      </c>
      <c r="H308" s="307">
        <f t="shared" ca="1" si="128"/>
        <v>30.579201793378136</v>
      </c>
      <c r="I308" s="304">
        <f t="shared" ca="1" si="129"/>
        <v>38.806838149993389</v>
      </c>
      <c r="J308" s="306">
        <f t="shared" ca="1" si="130"/>
        <v>351.74720563439007</v>
      </c>
      <c r="K308" s="307">
        <f t="shared" ca="1" si="131"/>
        <v>1265.8027201009429</v>
      </c>
      <c r="L308" s="304">
        <f t="shared" ca="1" si="116"/>
        <v>1313.7665785391819</v>
      </c>
      <c r="M308" s="306">
        <f t="shared" ca="1" si="132"/>
        <v>0.90752919025448375</v>
      </c>
      <c r="N308" s="304">
        <f t="shared" ca="1" si="133"/>
        <v>51.997592386507037</v>
      </c>
      <c r="P308" s="310">
        <f t="shared" ca="1" si="134"/>
        <v>23</v>
      </c>
      <c r="Q308" s="304">
        <f t="shared" ca="1" si="135"/>
        <v>0</v>
      </c>
      <c r="R308" s="306">
        <f t="shared" ca="1" si="136"/>
        <v>0</v>
      </c>
      <c r="S308" s="307">
        <f t="shared" ca="1" si="137"/>
        <v>7.9769999999999968</v>
      </c>
      <c r="T308" s="304">
        <f t="shared" ca="1" si="117"/>
        <v>78.254369999999966</v>
      </c>
      <c r="U308" s="311">
        <f t="shared" ca="1" si="118"/>
        <v>0</v>
      </c>
      <c r="V308" s="306">
        <f t="shared" ca="1" si="119"/>
        <v>1.0791688406938917</v>
      </c>
      <c r="W308" s="304">
        <f t="shared" ca="1" si="120"/>
        <v>5.3683342499019622</v>
      </c>
      <c r="Y308" s="314" t="str">
        <f t="shared" ca="1" si="138"/>
        <v/>
      </c>
      <c r="Z308" s="315" t="str">
        <f t="shared" ca="1" si="139"/>
        <v/>
      </c>
      <c r="AA308" s="316" t="str">
        <f t="shared" ca="1" si="140"/>
        <v/>
      </c>
      <c r="AC308" s="310" t="e">
        <f t="shared" ca="1" si="141"/>
        <v>#N/A</v>
      </c>
      <c r="AD308" s="323" t="e">
        <f t="shared" ca="1" si="142"/>
        <v>#N/A</v>
      </c>
      <c r="AE308" s="324">
        <f t="shared" ca="1" si="121"/>
        <v>1265.8027201009429</v>
      </c>
      <c r="AG308" s="306">
        <f t="shared" ca="1" si="143"/>
        <v>-8.5243179509130549</v>
      </c>
      <c r="AH308" s="304">
        <f t="shared" ca="1" si="144"/>
        <v>-0.70292585177830169</v>
      </c>
    </row>
    <row r="309" spans="1:34" x14ac:dyDescent="0.2">
      <c r="A309" s="347">
        <f t="shared" ca="1" si="122"/>
        <v>0.1</v>
      </c>
      <c r="B309" s="304">
        <f t="shared" ca="1" si="123"/>
        <v>12.499999999999973</v>
      </c>
      <c r="D309" s="306">
        <f t="shared" ca="1" si="124"/>
        <v>-0.41434804339343639</v>
      </c>
      <c r="E309" s="307">
        <f t="shared" ca="1" si="125"/>
        <v>-10.340295378242287</v>
      </c>
      <c r="F309" s="304">
        <f t="shared" ca="1" si="126"/>
        <v>10.348593760041156</v>
      </c>
      <c r="G309" s="306">
        <f t="shared" ca="1" si="127"/>
        <v>23.851725406893529</v>
      </c>
      <c r="H309" s="307">
        <f t="shared" ca="1" si="128"/>
        <v>29.545172255553908</v>
      </c>
      <c r="I309" s="304">
        <f t="shared" ca="1" si="129"/>
        <v>37.971331402733334</v>
      </c>
      <c r="J309" s="306">
        <f t="shared" ca="1" si="130"/>
        <v>354.13444991529639</v>
      </c>
      <c r="K309" s="307">
        <f t="shared" ca="1" si="131"/>
        <v>1268.8089388033895</v>
      </c>
      <c r="L309" s="304">
        <f t="shared" ca="1" si="116"/>
        <v>1317.303052377923</v>
      </c>
      <c r="M309" s="306">
        <f t="shared" ca="1" si="132"/>
        <v>0.89162187698184514</v>
      </c>
      <c r="N309" s="304">
        <f t="shared" ca="1" si="133"/>
        <v>51.086170472592407</v>
      </c>
      <c r="P309" s="310">
        <f t="shared" ca="1" si="134"/>
        <v>23</v>
      </c>
      <c r="Q309" s="304">
        <f t="shared" ca="1" si="135"/>
        <v>0</v>
      </c>
      <c r="R309" s="306">
        <f t="shared" ca="1" si="136"/>
        <v>0</v>
      </c>
      <c r="S309" s="307">
        <f t="shared" ca="1" si="137"/>
        <v>7.9769999999999968</v>
      </c>
      <c r="T309" s="304">
        <f t="shared" ca="1" si="117"/>
        <v>78.254369999999966</v>
      </c>
      <c r="U309" s="311">
        <f t="shared" ca="1" si="118"/>
        <v>0</v>
      </c>
      <c r="V309" s="306">
        <f t="shared" ca="1" si="119"/>
        <v>1.0788431602346606</v>
      </c>
      <c r="W309" s="304">
        <f t="shared" ca="1" si="120"/>
        <v>5.1381123419191228</v>
      </c>
      <c r="Y309" s="314" t="str">
        <f t="shared" ca="1" si="138"/>
        <v/>
      </c>
      <c r="Z309" s="315" t="str">
        <f t="shared" ca="1" si="139"/>
        <v/>
      </c>
      <c r="AA309" s="316" t="str">
        <f t="shared" ca="1" si="140"/>
        <v/>
      </c>
      <c r="AC309" s="310" t="e">
        <f t="shared" ca="1" si="141"/>
        <v>#N/A</v>
      </c>
      <c r="AD309" s="323" t="e">
        <f t="shared" ca="1" si="142"/>
        <v>#N/A</v>
      </c>
      <c r="AE309" s="324">
        <f t="shared" ca="1" si="121"/>
        <v>1268.8089388033895</v>
      </c>
      <c r="AG309" s="306">
        <f t="shared" ca="1" si="143"/>
        <v>-8.4031082846277183</v>
      </c>
      <c r="AH309" s="304">
        <f t="shared" ca="1" si="144"/>
        <v>-0.67297658893092194</v>
      </c>
    </row>
    <row r="310" spans="1:34" x14ac:dyDescent="0.2">
      <c r="A310" s="347">
        <f t="shared" ca="1" si="122"/>
        <v>0.1</v>
      </c>
      <c r="B310" s="304">
        <f t="shared" ca="1" si="123"/>
        <v>12.599999999999973</v>
      </c>
      <c r="D310" s="306">
        <f t="shared" ca="1" si="124"/>
        <v>-0.40460195716701725</v>
      </c>
      <c r="E310" s="307">
        <f t="shared" ca="1" si="125"/>
        <v>-10.311181122770215</v>
      </c>
      <c r="F310" s="304">
        <f t="shared" ca="1" si="126"/>
        <v>10.319116187460834</v>
      </c>
      <c r="G310" s="306">
        <f t="shared" ca="1" si="127"/>
        <v>23.811265211176828</v>
      </c>
      <c r="H310" s="307">
        <f t="shared" ca="1" si="128"/>
        <v>28.514054143276887</v>
      </c>
      <c r="I310" s="304">
        <f t="shared" ca="1" si="129"/>
        <v>37.14872318993919</v>
      </c>
      <c r="J310" s="306">
        <f t="shared" ca="1" si="130"/>
        <v>356.51759944619988</v>
      </c>
      <c r="K310" s="307">
        <f t="shared" ca="1" si="131"/>
        <v>1271.7119001233311</v>
      </c>
      <c r="L310" s="304">
        <f t="shared" ca="1" si="116"/>
        <v>1320.7406844760158</v>
      </c>
      <c r="M310" s="306">
        <f t="shared" ca="1" si="132"/>
        <v>0.87503330468387297</v>
      </c>
      <c r="N310" s="304">
        <f t="shared" ca="1" si="133"/>
        <v>50.135715291770971</v>
      </c>
      <c r="P310" s="310">
        <f t="shared" ca="1" si="134"/>
        <v>23</v>
      </c>
      <c r="Q310" s="304">
        <f t="shared" ca="1" si="135"/>
        <v>0</v>
      </c>
      <c r="R310" s="306">
        <f t="shared" ca="1" si="136"/>
        <v>0</v>
      </c>
      <c r="S310" s="307">
        <f t="shared" ca="1" si="137"/>
        <v>7.9769999999999968</v>
      </c>
      <c r="T310" s="304">
        <f t="shared" ca="1" si="117"/>
        <v>78.254369999999966</v>
      </c>
      <c r="U310" s="311">
        <f t="shared" ca="1" si="118"/>
        <v>0</v>
      </c>
      <c r="V310" s="306">
        <f t="shared" ca="1" si="119"/>
        <v>1.0785287535892167</v>
      </c>
      <c r="W310" s="304">
        <f t="shared" ca="1" si="120"/>
        <v>4.9164671717724255</v>
      </c>
      <c r="Y310" s="314" t="str">
        <f t="shared" ca="1" si="138"/>
        <v/>
      </c>
      <c r="Z310" s="315" t="str">
        <f t="shared" ca="1" si="139"/>
        <v/>
      </c>
      <c r="AA310" s="316" t="str">
        <f t="shared" ca="1" si="140"/>
        <v/>
      </c>
      <c r="AC310" s="310" t="e">
        <f t="shared" ca="1" si="141"/>
        <v>#N/A</v>
      </c>
      <c r="AD310" s="323" t="e">
        <f t="shared" ca="1" si="142"/>
        <v>#N/A</v>
      </c>
      <c r="AE310" s="324">
        <f t="shared" ca="1" si="121"/>
        <v>1271.7119001233311</v>
      </c>
      <c r="AG310" s="306">
        <f t="shared" ca="1" si="143"/>
        <v>-8.277194019835628</v>
      </c>
      <c r="AH310" s="304">
        <f t="shared" ca="1" si="144"/>
        <v>-0.64411587588305441</v>
      </c>
    </row>
    <row r="311" spans="1:34" x14ac:dyDescent="0.2">
      <c r="A311" s="347">
        <f t="shared" ca="1" si="122"/>
        <v>0.1</v>
      </c>
      <c r="B311" s="304">
        <f t="shared" ca="1" si="123"/>
        <v>12.699999999999973</v>
      </c>
      <c r="D311" s="306">
        <f t="shared" ca="1" si="124"/>
        <v>-0.39505006017117184</v>
      </c>
      <c r="E311" s="307">
        <f t="shared" ca="1" si="125"/>
        <v>-10.283073509749416</v>
      </c>
      <c r="F311" s="304">
        <f t="shared" ca="1" si="126"/>
        <v>10.290659131316682</v>
      </c>
      <c r="G311" s="306">
        <f t="shared" ca="1" si="127"/>
        <v>23.771760205159712</v>
      </c>
      <c r="H311" s="307">
        <f t="shared" ca="1" si="128"/>
        <v>27.485746792301946</v>
      </c>
      <c r="I311" s="304">
        <f t="shared" ca="1" si="129"/>
        <v>36.339549529158333</v>
      </c>
      <c r="J311" s="306">
        <f t="shared" ca="1" si="130"/>
        <v>358.89675071701669</v>
      </c>
      <c r="K311" s="307">
        <f t="shared" ca="1" si="131"/>
        <v>1274.5118901701101</v>
      </c>
      <c r="L311" s="304">
        <f t="shared" ca="1" si="116"/>
        <v>1324.0798449716767</v>
      </c>
      <c r="M311" s="306">
        <f t="shared" ca="1" si="132"/>
        <v>0.85772917654089653</v>
      </c>
      <c r="N311" s="304">
        <f t="shared" ca="1" si="133"/>
        <v>49.144261781024873</v>
      </c>
      <c r="P311" s="310">
        <f t="shared" ca="1" si="134"/>
        <v>23</v>
      </c>
      <c r="Q311" s="304">
        <f t="shared" ca="1" si="135"/>
        <v>0</v>
      </c>
      <c r="R311" s="306">
        <f t="shared" ca="1" si="136"/>
        <v>0</v>
      </c>
      <c r="S311" s="307">
        <f t="shared" ca="1" si="137"/>
        <v>7.9769999999999968</v>
      </c>
      <c r="T311" s="304">
        <f t="shared" ca="1" si="117"/>
        <v>78.254369999999966</v>
      </c>
      <c r="U311" s="311">
        <f t="shared" ca="1" si="118"/>
        <v>0</v>
      </c>
      <c r="V311" s="306">
        <f t="shared" ca="1" si="119"/>
        <v>1.0782255805897223</v>
      </c>
      <c r="W311" s="304">
        <f t="shared" ca="1" si="120"/>
        <v>4.7032963342154641</v>
      </c>
      <c r="Y311" s="314" t="str">
        <f t="shared" ca="1" si="138"/>
        <v/>
      </c>
      <c r="Z311" s="315" t="str">
        <f t="shared" ca="1" si="139"/>
        <v/>
      </c>
      <c r="AA311" s="316" t="str">
        <f t="shared" ca="1" si="140"/>
        <v/>
      </c>
      <c r="AC311" s="310" t="e">
        <f t="shared" ca="1" si="141"/>
        <v>#N/A</v>
      </c>
      <c r="AD311" s="323" t="e">
        <f t="shared" ca="1" si="142"/>
        <v>#N/A</v>
      </c>
      <c r="AE311" s="324">
        <f t="shared" ca="1" si="121"/>
        <v>1274.5118901701101</v>
      </c>
      <c r="AG311" s="306">
        <f t="shared" ca="1" si="143"/>
        <v>-8.146141524796068</v>
      </c>
      <c r="AH311" s="304">
        <f t="shared" ca="1" si="144"/>
        <v>-0.61633034621692706</v>
      </c>
    </row>
    <row r="312" spans="1:34" x14ac:dyDescent="0.2">
      <c r="A312" s="347">
        <f t="shared" ca="1" si="122"/>
        <v>0.1</v>
      </c>
      <c r="B312" s="304">
        <f t="shared" ca="1" si="123"/>
        <v>12.799999999999972</v>
      </c>
      <c r="D312" s="306">
        <f t="shared" ca="1" si="124"/>
        <v>-0.3856954822136196</v>
      </c>
      <c r="E312" s="307">
        <f t="shared" ca="1" si="125"/>
        <v>-10.255954707247861</v>
      </c>
      <c r="F312" s="304">
        <f t="shared" ca="1" si="126"/>
        <v>10.263204565929666</v>
      </c>
      <c r="G312" s="306">
        <f t="shared" ca="1" si="127"/>
        <v>23.733190656938351</v>
      </c>
      <c r="H312" s="307">
        <f t="shared" ca="1" si="128"/>
        <v>26.460151321577161</v>
      </c>
      <c r="I312" s="304">
        <f t="shared" ca="1" si="129"/>
        <v>35.544394026616175</v>
      </c>
      <c r="J312" s="306">
        <f t="shared" ca="1" si="130"/>
        <v>361.27199826012156</v>
      </c>
      <c r="K312" s="307">
        <f t="shared" ca="1" si="131"/>
        <v>1277.209185075804</v>
      </c>
      <c r="L312" s="304">
        <f t="shared" ca="1" si="116"/>
        <v>1327.3208953259423</v>
      </c>
      <c r="M312" s="306">
        <f t="shared" ca="1" si="132"/>
        <v>0.83967393551416314</v>
      </c>
      <c r="N312" s="304">
        <f t="shared" ca="1" si="133"/>
        <v>48.109772672101599</v>
      </c>
      <c r="P312" s="310">
        <f t="shared" ca="1" si="134"/>
        <v>23</v>
      </c>
      <c r="Q312" s="304">
        <f t="shared" ca="1" si="135"/>
        <v>0</v>
      </c>
      <c r="R312" s="306">
        <f t="shared" ca="1" si="136"/>
        <v>0</v>
      </c>
      <c r="S312" s="307">
        <f t="shared" ca="1" si="137"/>
        <v>7.9769999999999968</v>
      </c>
      <c r="T312" s="304">
        <f t="shared" ca="1" si="117"/>
        <v>78.254369999999966</v>
      </c>
      <c r="U312" s="311">
        <f t="shared" ca="1" si="118"/>
        <v>0</v>
      </c>
      <c r="V312" s="306">
        <f t="shared" ca="1" si="119"/>
        <v>1.0779336025125623</v>
      </c>
      <c r="W312" s="304">
        <f t="shared" ca="1" si="120"/>
        <v>4.4985015278655984</v>
      </c>
      <c r="Y312" s="314" t="str">
        <f t="shared" ca="1" si="138"/>
        <v/>
      </c>
      <c r="Z312" s="315" t="str">
        <f t="shared" ca="1" si="139"/>
        <v/>
      </c>
      <c r="AA312" s="316" t="str">
        <f t="shared" ca="1" si="140"/>
        <v/>
      </c>
      <c r="AC312" s="310" t="e">
        <f t="shared" ca="1" si="141"/>
        <v>#N/A</v>
      </c>
      <c r="AD312" s="323" t="e">
        <f t="shared" ca="1" si="142"/>
        <v>#N/A</v>
      </c>
      <c r="AE312" s="324">
        <f t="shared" ca="1" si="121"/>
        <v>1277.209185075804</v>
      </c>
      <c r="AG312" s="306">
        <f t="shared" ca="1" si="143"/>
        <v>-8.0094893437956394</v>
      </c>
      <c r="AH312" s="304">
        <f t="shared" ca="1" si="144"/>
        <v>-0.58960716236874344</v>
      </c>
    </row>
    <row r="313" spans="1:34" x14ac:dyDescent="0.2">
      <c r="A313" s="347">
        <f t="shared" ca="1" si="122"/>
        <v>0.1</v>
      </c>
      <c r="B313" s="304">
        <f t="shared" ca="1" si="123"/>
        <v>12.899999999999972</v>
      </c>
      <c r="D313" s="306">
        <f t="shared" ca="1" si="124"/>
        <v>-0.37654188616241219</v>
      </c>
      <c r="E313" s="307">
        <f t="shared" ca="1" si="125"/>
        <v>-10.229806819520778</v>
      </c>
      <c r="F313" s="304">
        <f t="shared" ca="1" si="126"/>
        <v>10.236734408821427</v>
      </c>
      <c r="G313" s="306">
        <f t="shared" ca="1" si="127"/>
        <v>23.695536468322111</v>
      </c>
      <c r="H313" s="307">
        <f t="shared" ca="1" si="128"/>
        <v>25.437170639625084</v>
      </c>
      <c r="I313" s="304">
        <f t="shared" ca="1" si="129"/>
        <v>34.763890729764235</v>
      </c>
      <c r="J313" s="306">
        <f t="shared" ca="1" si="130"/>
        <v>363.64343461638458</v>
      </c>
      <c r="K313" s="307">
        <f t="shared" ca="1" si="131"/>
        <v>1279.8040511738641</v>
      </c>
      <c r="L313" s="304">
        <f t="shared" ca="1" si="116"/>
        <v>1330.4641885224253</v>
      </c>
      <c r="M313" s="306">
        <f t="shared" ca="1" si="132"/>
        <v>0.82083087924015086</v>
      </c>
      <c r="N313" s="304">
        <f t="shared" ca="1" si="133"/>
        <v>47.030145074473182</v>
      </c>
      <c r="P313" s="310">
        <f t="shared" ca="1" si="134"/>
        <v>23</v>
      </c>
      <c r="Q313" s="304">
        <f t="shared" ca="1" si="135"/>
        <v>0</v>
      </c>
      <c r="R313" s="306">
        <f t="shared" ca="1" si="136"/>
        <v>0</v>
      </c>
      <c r="S313" s="307">
        <f t="shared" ca="1" si="137"/>
        <v>7.9769999999999968</v>
      </c>
      <c r="T313" s="304">
        <f t="shared" ca="1" si="117"/>
        <v>78.254369999999966</v>
      </c>
      <c r="U313" s="311">
        <f t="shared" ca="1" si="118"/>
        <v>0</v>
      </c>
      <c r="V313" s="306">
        <f t="shared" ca="1" si="119"/>
        <v>1.0776527820540245</v>
      </c>
      <c r="W313" s="304">
        <f t="shared" ca="1" si="120"/>
        <v>4.3019884436403455</v>
      </c>
      <c r="Y313" s="314" t="str">
        <f t="shared" ca="1" si="138"/>
        <v/>
      </c>
      <c r="Z313" s="315" t="str">
        <f t="shared" ca="1" si="139"/>
        <v/>
      </c>
      <c r="AA313" s="316" t="str">
        <f t="shared" ca="1" si="140"/>
        <v/>
      </c>
      <c r="AC313" s="310" t="e">
        <f t="shared" ca="1" si="141"/>
        <v>#N/A</v>
      </c>
      <c r="AD313" s="323" t="e">
        <f t="shared" ca="1" si="142"/>
        <v>#N/A</v>
      </c>
      <c r="AE313" s="324">
        <f t="shared" ca="1" si="121"/>
        <v>1279.8040511738641</v>
      </c>
      <c r="AG313" s="306">
        <f t="shared" ca="1" si="143"/>
        <v>-7.8667476114589192</v>
      </c>
      <c r="AH313" s="304">
        <f t="shared" ca="1" si="144"/>
        <v>-0.56393400123675574</v>
      </c>
    </row>
    <row r="314" spans="1:34" x14ac:dyDescent="0.2">
      <c r="A314" s="347">
        <f t="shared" ca="1" si="122"/>
        <v>0.1</v>
      </c>
      <c r="B314" s="304">
        <f t="shared" ca="1" si="123"/>
        <v>12.999999999999972</v>
      </c>
      <c r="D314" s="306">
        <f t="shared" ca="1" si="124"/>
        <v>-0.36759349445730921</v>
      </c>
      <c r="E314" s="307">
        <f t="shared" ca="1" si="125"/>
        <v>-10.204611806195109</v>
      </c>
      <c r="F314" s="304">
        <f t="shared" ca="1" si="126"/>
        <v>10.211230439682769</v>
      </c>
      <c r="G314" s="306">
        <f t="shared" ca="1" si="127"/>
        <v>23.65877711887638</v>
      </c>
      <c r="H314" s="307">
        <f t="shared" ca="1" si="128"/>
        <v>24.416709459005574</v>
      </c>
      <c r="I314" s="304">
        <f t="shared" ca="1" si="129"/>
        <v>33.998726969787569</v>
      </c>
      <c r="J314" s="306">
        <f t="shared" ca="1" si="130"/>
        <v>366.01115029574453</v>
      </c>
      <c r="K314" s="307">
        <f t="shared" ca="1" si="131"/>
        <v>1282.2967451787956</v>
      </c>
      <c r="L314" s="304">
        <f t="shared" ca="1" si="116"/>
        <v>1333.5100692671756</v>
      </c>
      <c r="M314" s="306">
        <f t="shared" ca="1" si="132"/>
        <v>0.80116232115815433</v>
      </c>
      <c r="N314" s="304">
        <f t="shared" ca="1" si="133"/>
        <v>45.903219707266857</v>
      </c>
      <c r="P314" s="310">
        <f t="shared" ca="1" si="134"/>
        <v>23</v>
      </c>
      <c r="Q314" s="304">
        <f t="shared" ca="1" si="135"/>
        <v>0</v>
      </c>
      <c r="R314" s="306">
        <f t="shared" ca="1" si="136"/>
        <v>0</v>
      </c>
      <c r="S314" s="307">
        <f t="shared" ca="1" si="137"/>
        <v>7.9769999999999968</v>
      </c>
      <c r="T314" s="304">
        <f t="shared" ca="1" si="117"/>
        <v>78.254369999999966</v>
      </c>
      <c r="U314" s="311">
        <f t="shared" ca="1" si="118"/>
        <v>0</v>
      </c>
      <c r="V314" s="306">
        <f t="shared" ca="1" si="119"/>
        <v>1.077383083306094</v>
      </c>
      <c r="W314" s="304">
        <f t="shared" ca="1" si="120"/>
        <v>4.1136666560806239</v>
      </c>
      <c r="Y314" s="314" t="str">
        <f t="shared" ca="1" si="138"/>
        <v/>
      </c>
      <c r="Z314" s="315" t="str">
        <f t="shared" ca="1" si="139"/>
        <v/>
      </c>
      <c r="AA314" s="316" t="str">
        <f t="shared" ca="1" si="140"/>
        <v/>
      </c>
      <c r="AC314" s="310">
        <f t="shared" ca="1" si="141"/>
        <v>12.999999999999972</v>
      </c>
      <c r="AD314" s="323">
        <f t="shared" ca="1" si="142"/>
        <v>366.01115029574453</v>
      </c>
      <c r="AE314" s="324">
        <f t="shared" ca="1" si="121"/>
        <v>1282.2967451787956</v>
      </c>
      <c r="AG314" s="306">
        <f t="shared" ca="1" si="143"/>
        <v>-7.7173978874880769</v>
      </c>
      <c r="AH314" s="304">
        <f t="shared" ca="1" si="144"/>
        <v>-0.53929904019560582</v>
      </c>
    </row>
    <row r="315" spans="1:34" x14ac:dyDescent="0.2">
      <c r="A315" s="347">
        <f t="shared" ca="1" si="122"/>
        <v>0.1</v>
      </c>
      <c r="B315" s="304">
        <f t="shared" ca="1" si="123"/>
        <v>13.099999999999971</v>
      </c>
      <c r="D315" s="306">
        <f t="shared" ca="1" si="124"/>
        <v>-0.35885511550718657</v>
      </c>
      <c r="E315" s="307">
        <f t="shared" ca="1" si="125"/>
        <v>-10.180351394291888</v>
      </c>
      <c r="F315" s="304">
        <f t="shared" ca="1" si="126"/>
        <v>10.186674212184586</v>
      </c>
      <c r="G315" s="306">
        <f t="shared" ca="1" si="127"/>
        <v>23.622891607325659</v>
      </c>
      <c r="H315" s="307">
        <f t="shared" ca="1" si="128"/>
        <v>23.398674319576386</v>
      </c>
      <c r="I315" s="304">
        <f t="shared" ca="1" si="129"/>
        <v>33.249646130523864</v>
      </c>
      <c r="J315" s="306">
        <f t="shared" ca="1" si="130"/>
        <v>368.37523373205465</v>
      </c>
      <c r="K315" s="307">
        <f t="shared" ca="1" si="131"/>
        <v>1284.6875143677248</v>
      </c>
      <c r="L315" s="304">
        <f t="shared" ca="1" si="116"/>
        <v>1336.4588741893515</v>
      </c>
      <c r="M315" s="306">
        <f t="shared" ca="1" si="132"/>
        <v>0.78062980692170425</v>
      </c>
      <c r="N315" s="304">
        <f t="shared" ca="1" si="133"/>
        <v>44.726793298725994</v>
      </c>
      <c r="P315" s="310">
        <f t="shared" ca="1" si="134"/>
        <v>23</v>
      </c>
      <c r="Q315" s="304">
        <f t="shared" ca="1" si="135"/>
        <v>0</v>
      </c>
      <c r="R315" s="306">
        <f t="shared" ca="1" si="136"/>
        <v>0</v>
      </c>
      <c r="S315" s="307">
        <f t="shared" ca="1" si="137"/>
        <v>7.9769999999999968</v>
      </c>
      <c r="T315" s="304">
        <f t="shared" ca="1" si="117"/>
        <v>78.254369999999966</v>
      </c>
      <c r="U315" s="311">
        <f t="shared" ca="1" si="118"/>
        <v>0</v>
      </c>
      <c r="V315" s="306">
        <f t="shared" ca="1" si="119"/>
        <v>1.0771244717322588</v>
      </c>
      <c r="W315" s="304">
        <f t="shared" ca="1" si="120"/>
        <v>3.9334495171949739</v>
      </c>
      <c r="Y315" s="314" t="str">
        <f t="shared" ca="1" si="138"/>
        <v/>
      </c>
      <c r="Z315" s="315" t="str">
        <f t="shared" ca="1" si="139"/>
        <v/>
      </c>
      <c r="AA315" s="316" t="str">
        <f t="shared" ca="1" si="140"/>
        <v/>
      </c>
      <c r="AC315" s="310" t="e">
        <f t="shared" ca="1" si="141"/>
        <v>#N/A</v>
      </c>
      <c r="AD315" s="323" t="e">
        <f t="shared" ca="1" si="142"/>
        <v>#N/A</v>
      </c>
      <c r="AE315" s="324">
        <f t="shared" ca="1" si="121"/>
        <v>1284.6875143677248</v>
      </c>
      <c r="AG315" s="306">
        <f t="shared" ca="1" si="143"/>
        <v>-7.5608935478435244</v>
      </c>
      <c r="AH315" s="304">
        <f t="shared" ca="1" si="144"/>
        <v>-0.51569094347256184</v>
      </c>
    </row>
    <row r="316" spans="1:34" x14ac:dyDescent="0.2">
      <c r="A316" s="347">
        <f t="shared" ca="1" si="122"/>
        <v>0.1</v>
      </c>
      <c r="B316" s="304">
        <f t="shared" ca="1" si="123"/>
        <v>13.199999999999971</v>
      </c>
      <c r="D316" s="306">
        <f t="shared" ca="1" si="124"/>
        <v>-0.35033216931430256</v>
      </c>
      <c r="E316" s="307">
        <f t="shared" ca="1" si="125"/>
        <v>-10.157006982452311</v>
      </c>
      <c r="F316" s="304">
        <f t="shared" ca="1" si="126"/>
        <v>10.163046957996478</v>
      </c>
      <c r="G316" s="306">
        <f t="shared" ca="1" si="127"/>
        <v>23.587858390394228</v>
      </c>
      <c r="H316" s="307">
        <f t="shared" ca="1" si="128"/>
        <v>22.382973621331157</v>
      </c>
      <c r="I316" s="304">
        <f t="shared" ca="1" si="129"/>
        <v>32.517450262566676</v>
      </c>
      <c r="J316" s="306">
        <f t="shared" ca="1" si="130"/>
        <v>370.73577123194065</v>
      </c>
      <c r="K316" s="307">
        <f t="shared" ca="1" si="131"/>
        <v>1286.9765967647702</v>
      </c>
      <c r="L316" s="304">
        <f t="shared" ca="1" si="116"/>
        <v>1339.3109320434787</v>
      </c>
      <c r="M316" s="306">
        <f t="shared" ca="1" si="132"/>
        <v>0.75919439612297812</v>
      </c>
      <c r="N316" s="304">
        <f t="shared" ca="1" si="133"/>
        <v>43.498634727829838</v>
      </c>
      <c r="P316" s="310">
        <f t="shared" ca="1" si="134"/>
        <v>23</v>
      </c>
      <c r="Q316" s="304">
        <f t="shared" ca="1" si="135"/>
        <v>0</v>
      </c>
      <c r="R316" s="306">
        <f t="shared" ca="1" si="136"/>
        <v>0</v>
      </c>
      <c r="S316" s="307">
        <f t="shared" ca="1" si="137"/>
        <v>7.9769999999999968</v>
      </c>
      <c r="T316" s="304">
        <f t="shared" ca="1" si="117"/>
        <v>78.254369999999966</v>
      </c>
      <c r="U316" s="311">
        <f t="shared" ca="1" si="118"/>
        <v>0</v>
      </c>
      <c r="V316" s="306">
        <f t="shared" ca="1" si="119"/>
        <v>1.0768769141432282</v>
      </c>
      <c r="W316" s="304">
        <f t="shared" ca="1" si="120"/>
        <v>3.761254052444877</v>
      </c>
      <c r="Y316" s="314" t="str">
        <f t="shared" ca="1" si="138"/>
        <v/>
      </c>
      <c r="Z316" s="315" t="str">
        <f t="shared" ca="1" si="139"/>
        <v/>
      </c>
      <c r="AA316" s="316" t="str">
        <f t="shared" ca="1" si="140"/>
        <v/>
      </c>
      <c r="AC316" s="310" t="e">
        <f t="shared" ca="1" si="141"/>
        <v>#N/A</v>
      </c>
      <c r="AD316" s="323" t="e">
        <f t="shared" ca="1" si="142"/>
        <v>#N/A</v>
      </c>
      <c r="AE316" s="324">
        <f t="shared" ca="1" si="121"/>
        <v>1286.9765967647702</v>
      </c>
      <c r="AG316" s="306">
        <f t="shared" ca="1" si="143"/>
        <v>-7.396660895003067</v>
      </c>
      <c r="AH316" s="304">
        <f t="shared" ca="1" si="144"/>
        <v>-0.49309884883978633</v>
      </c>
    </row>
    <row r="317" spans="1:34" x14ac:dyDescent="0.2">
      <c r="A317" s="347">
        <f t="shared" ca="1" si="122"/>
        <v>0.1</v>
      </c>
      <c r="B317" s="304">
        <f t="shared" ca="1" si="123"/>
        <v>13.299999999999971</v>
      </c>
      <c r="D317" s="306">
        <f t="shared" ca="1" si="124"/>
        <v>-0.34203071148662917</v>
      </c>
      <c r="E317" s="307">
        <f t="shared" ca="1" si="125"/>
        <v>-10.134559536783042</v>
      </c>
      <c r="F317" s="304">
        <f t="shared" ca="1" si="126"/>
        <v>10.140329482428081</v>
      </c>
      <c r="G317" s="306">
        <f t="shared" ca="1" si="127"/>
        <v>23.553655319245564</v>
      </c>
      <c r="H317" s="307">
        <f t="shared" ca="1" si="128"/>
        <v>21.369517667652854</v>
      </c>
      <c r="I317" s="304">
        <f t="shared" ca="1" si="129"/>
        <v>31.803002440743739</v>
      </c>
      <c r="J317" s="306">
        <f t="shared" ca="1" si="130"/>
        <v>373.09284691742266</v>
      </c>
      <c r="K317" s="307">
        <f t="shared" ca="1" si="131"/>
        <v>1289.1642213292193</v>
      </c>
      <c r="L317" s="304">
        <f t="shared" ca="1" si="116"/>
        <v>1342.066563914145</v>
      </c>
      <c r="M317" s="306">
        <f t="shared" ca="1" si="132"/>
        <v>0.73681702019286421</v>
      </c>
      <c r="N317" s="304">
        <f t="shared" ca="1" si="133"/>
        <v>42.216505530456672</v>
      </c>
      <c r="P317" s="310">
        <f t="shared" ca="1" si="134"/>
        <v>23</v>
      </c>
      <c r="Q317" s="304">
        <f t="shared" ca="1" si="135"/>
        <v>0</v>
      </c>
      <c r="R317" s="306">
        <f t="shared" ca="1" si="136"/>
        <v>0</v>
      </c>
      <c r="S317" s="307">
        <f t="shared" ca="1" si="137"/>
        <v>7.9769999999999968</v>
      </c>
      <c r="T317" s="304">
        <f t="shared" ca="1" si="117"/>
        <v>78.254369999999966</v>
      </c>
      <c r="U317" s="311">
        <f t="shared" ca="1" si="118"/>
        <v>0</v>
      </c>
      <c r="V317" s="306">
        <f t="shared" ca="1" si="119"/>
        <v>1.0766403786724428</v>
      </c>
      <c r="W317" s="304">
        <f t="shared" ca="1" si="120"/>
        <v>3.5970008584751243</v>
      </c>
      <c r="Y317" s="314" t="str">
        <f t="shared" ca="1" si="138"/>
        <v/>
      </c>
      <c r="Z317" s="315" t="str">
        <f t="shared" ca="1" si="139"/>
        <v/>
      </c>
      <c r="AA317" s="316" t="str">
        <f t="shared" ca="1" si="140"/>
        <v/>
      </c>
      <c r="AC317" s="310" t="e">
        <f t="shared" ca="1" si="141"/>
        <v>#N/A</v>
      </c>
      <c r="AD317" s="323" t="e">
        <f t="shared" ca="1" si="142"/>
        <v>#N/A</v>
      </c>
      <c r="AE317" s="324">
        <f t="shared" ca="1" si="121"/>
        <v>1289.1642213292193</v>
      </c>
      <c r="AG317" s="306">
        <f t="shared" ca="1" si="143"/>
        <v>-7.2241011784912121</v>
      </c>
      <c r="AH317" s="304">
        <f t="shared" ca="1" si="144"/>
        <v>-0.47151235457501295</v>
      </c>
    </row>
    <row r="318" spans="1:34" x14ac:dyDescent="0.2">
      <c r="A318" s="347">
        <f t="shared" ca="1" si="122"/>
        <v>0.1</v>
      </c>
      <c r="B318" s="304">
        <f t="shared" ca="1" si="123"/>
        <v>13.39999999999997</v>
      </c>
      <c r="D318" s="306">
        <f t="shared" ca="1" si="124"/>
        <v>-0.33395745459082665</v>
      </c>
      <c r="E318" s="307">
        <f t="shared" ca="1" si="125"/>
        <v>-10.112989477828176</v>
      </c>
      <c r="F318" s="304">
        <f t="shared" ca="1" si="126"/>
        <v>10.118502051200078</v>
      </c>
      <c r="G318" s="306">
        <f t="shared" ca="1" si="127"/>
        <v>23.520259573786483</v>
      </c>
      <c r="H318" s="307">
        <f t="shared" ca="1" si="128"/>
        <v>20.358218719870038</v>
      </c>
      <c r="I318" s="304">
        <f t="shared" ca="1" si="129"/>
        <v>31.10722873970553</v>
      </c>
      <c r="J318" s="306">
        <f t="shared" ca="1" si="130"/>
        <v>375.44654266207425</v>
      </c>
      <c r="K318" s="307">
        <f t="shared" ca="1" si="131"/>
        <v>1291.2506081485956</v>
      </c>
      <c r="L318" s="304">
        <f t="shared" ca="1" si="116"/>
        <v>1344.726083424064</v>
      </c>
      <c r="M318" s="306">
        <f t="shared" ca="1" si="132"/>
        <v>0.71345892790040211</v>
      </c>
      <c r="N318" s="304">
        <f t="shared" ca="1" si="133"/>
        <v>40.878185424621535</v>
      </c>
      <c r="P318" s="310">
        <f t="shared" ca="1" si="134"/>
        <v>23</v>
      </c>
      <c r="Q318" s="304">
        <f t="shared" ca="1" si="135"/>
        <v>0</v>
      </c>
      <c r="R318" s="306">
        <f t="shared" ca="1" si="136"/>
        <v>0</v>
      </c>
      <c r="S318" s="307">
        <f t="shared" ca="1" si="137"/>
        <v>7.9769999999999968</v>
      </c>
      <c r="T318" s="304">
        <f t="shared" ca="1" si="117"/>
        <v>78.254369999999966</v>
      </c>
      <c r="U318" s="311">
        <f t="shared" ca="1" si="118"/>
        <v>0</v>
      </c>
      <c r="V318" s="306">
        <f t="shared" ca="1" si="119"/>
        <v>1.0764148347512619</v>
      </c>
      <c r="W318" s="304">
        <f t="shared" ca="1" si="120"/>
        <v>3.4406140021751481</v>
      </c>
      <c r="Y318" s="314" t="str">
        <f t="shared" ca="1" si="138"/>
        <v/>
      </c>
      <c r="Z318" s="315" t="str">
        <f t="shared" ca="1" si="139"/>
        <v/>
      </c>
      <c r="AA318" s="316" t="str">
        <f t="shared" ca="1" si="140"/>
        <v/>
      </c>
      <c r="AC318" s="310" t="e">
        <f t="shared" ca="1" si="141"/>
        <v>#N/A</v>
      </c>
      <c r="AD318" s="323" t="e">
        <f t="shared" ca="1" si="142"/>
        <v>#N/A</v>
      </c>
      <c r="AE318" s="324">
        <f t="shared" ca="1" si="121"/>
        <v>1291.2506081485956</v>
      </c>
      <c r="AG318" s="306">
        <f t="shared" ca="1" si="143"/>
        <v>-7.0425937460866876</v>
      </c>
      <c r="AH318" s="304">
        <f t="shared" ca="1" si="144"/>
        <v>-0.45092150664098357</v>
      </c>
    </row>
    <row r="319" spans="1:34" x14ac:dyDescent="0.2">
      <c r="A319" s="347">
        <f t="shared" ca="1" si="122"/>
        <v>0.1</v>
      </c>
      <c r="B319" s="304">
        <f t="shared" ca="1" si="123"/>
        <v>13.49999999999997</v>
      </c>
      <c r="D319" s="306">
        <f t="shared" ca="1" si="124"/>
        <v>-0.32611978556125676</v>
      </c>
      <c r="E319" s="307">
        <f t="shared" ca="1" si="125"/>
        <v>-10.092276558322199</v>
      </c>
      <c r="F319" s="304">
        <f t="shared" ca="1" si="126"/>
        <v>10.097544267998744</v>
      </c>
      <c r="G319" s="306">
        <f t="shared" ca="1" si="127"/>
        <v>23.487647595230357</v>
      </c>
      <c r="H319" s="307">
        <f t="shared" ca="1" si="128"/>
        <v>19.348991064037818</v>
      </c>
      <c r="I319" s="304">
        <f t="shared" ca="1" si="129"/>
        <v>30.431119676310722</v>
      </c>
      <c r="J319" s="306">
        <f t="shared" ca="1" si="130"/>
        <v>377.79693802052509</v>
      </c>
      <c r="K319" s="307">
        <f t="shared" ca="1" si="131"/>
        <v>1293.2359686377911</v>
      </c>
      <c r="L319" s="304">
        <f t="shared" ca="1" si="116"/>
        <v>1347.2897969465255</v>
      </c>
      <c r="M319" s="306">
        <f t="shared" ca="1" si="132"/>
        <v>0.68908222999500079</v>
      </c>
      <c r="N319" s="304">
        <f t="shared" ca="1" si="133"/>
        <v>39.481503516176645</v>
      </c>
      <c r="P319" s="310">
        <f t="shared" ca="1" si="134"/>
        <v>23</v>
      </c>
      <c r="Q319" s="304">
        <f t="shared" ca="1" si="135"/>
        <v>0</v>
      </c>
      <c r="R319" s="306">
        <f t="shared" ca="1" si="136"/>
        <v>0</v>
      </c>
      <c r="S319" s="307">
        <f t="shared" ca="1" si="137"/>
        <v>7.9769999999999968</v>
      </c>
      <c r="T319" s="304">
        <f t="shared" ca="1" si="117"/>
        <v>78.254369999999966</v>
      </c>
      <c r="U319" s="311">
        <f t="shared" ca="1" si="118"/>
        <v>0</v>
      </c>
      <c r="V319" s="306">
        <f t="shared" ca="1" si="119"/>
        <v>1.0762002530836896</v>
      </c>
      <c r="W319" s="304">
        <f t="shared" ca="1" si="120"/>
        <v>3.2920209206377078</v>
      </c>
      <c r="Y319" s="314" t="str">
        <f t="shared" ca="1" si="138"/>
        <v/>
      </c>
      <c r="Z319" s="315" t="str">
        <f t="shared" ca="1" si="139"/>
        <v/>
      </c>
      <c r="AA319" s="316" t="str">
        <f t="shared" ca="1" si="140"/>
        <v/>
      </c>
      <c r="AC319" s="310" t="e">
        <f t="shared" ca="1" si="141"/>
        <v>#N/A</v>
      </c>
      <c r="AD319" s="323" t="e">
        <f t="shared" ca="1" si="142"/>
        <v>#N/A</v>
      </c>
      <c r="AE319" s="324">
        <f t="shared" ca="1" si="121"/>
        <v>1293.2359686377911</v>
      </c>
      <c r="AG319" s="306">
        <f t="shared" ca="1" si="143"/>
        <v>-6.8515005739565114</v>
      </c>
      <c r="AH319" s="304">
        <f t="shared" ca="1" si="144"/>
        <v>-0.43131678603173496</v>
      </c>
    </row>
    <row r="320" spans="1:34" x14ac:dyDescent="0.2">
      <c r="A320" s="347">
        <f t="shared" ca="1" si="122"/>
        <v>0.1</v>
      </c>
      <c r="B320" s="304">
        <f t="shared" ca="1" si="123"/>
        <v>13.599999999999969</v>
      </c>
      <c r="D320" s="306">
        <f t="shared" ca="1" si="124"/>
        <v>-0.31852577761778439</v>
      </c>
      <c r="E320" s="307">
        <f t="shared" ca="1" si="125"/>
        <v>-10.072399731595247</v>
      </c>
      <c r="F320" s="304">
        <f t="shared" ca="1" si="126"/>
        <v>10.077434942684921</v>
      </c>
      <c r="G320" s="306">
        <f t="shared" ca="1" si="127"/>
        <v>23.455795017468578</v>
      </c>
      <c r="H320" s="307">
        <f t="shared" ca="1" si="128"/>
        <v>18.341751090878294</v>
      </c>
      <c r="I320" s="304">
        <f t="shared" ca="1" si="129"/>
        <v>29.775730939495656</v>
      </c>
      <c r="J320" s="306">
        <f t="shared" ca="1" si="130"/>
        <v>380.14411015116002</v>
      </c>
      <c r="K320" s="307">
        <f t="shared" ca="1" si="131"/>
        <v>1295.1205057455368</v>
      </c>
      <c r="L320" s="304">
        <f t="shared" ca="1" si="116"/>
        <v>1349.7580038233491</v>
      </c>
      <c r="M320" s="306">
        <f t="shared" ca="1" si="132"/>
        <v>0.66365055399836637</v>
      </c>
      <c r="N320" s="304">
        <f t="shared" ca="1" si="133"/>
        <v>38.024375815625334</v>
      </c>
      <c r="P320" s="310">
        <f t="shared" ca="1" si="134"/>
        <v>23</v>
      </c>
      <c r="Q320" s="304">
        <f t="shared" ca="1" si="135"/>
        <v>0</v>
      </c>
      <c r="R320" s="306">
        <f t="shared" ca="1" si="136"/>
        <v>0</v>
      </c>
      <c r="S320" s="307">
        <f t="shared" ca="1" si="137"/>
        <v>7.9769999999999968</v>
      </c>
      <c r="T320" s="304">
        <f t="shared" ca="1" si="117"/>
        <v>78.254369999999966</v>
      </c>
      <c r="U320" s="311">
        <f t="shared" ca="1" si="118"/>
        <v>0</v>
      </c>
      <c r="V320" s="306">
        <f t="shared" ca="1" si="119"/>
        <v>1.0759966056205006</v>
      </c>
      <c r="W320" s="304">
        <f t="shared" ca="1" si="120"/>
        <v>3.1511523215607999</v>
      </c>
      <c r="Y320" s="314" t="str">
        <f t="shared" ca="1" si="138"/>
        <v/>
      </c>
      <c r="Z320" s="315" t="str">
        <f t="shared" ca="1" si="139"/>
        <v/>
      </c>
      <c r="AA320" s="316" t="str">
        <f t="shared" ca="1" si="140"/>
        <v/>
      </c>
      <c r="AC320" s="310" t="e">
        <f t="shared" ca="1" si="141"/>
        <v>#N/A</v>
      </c>
      <c r="AD320" s="323" t="e">
        <f t="shared" ca="1" si="142"/>
        <v>#N/A</v>
      </c>
      <c r="AE320" s="324">
        <f t="shared" ca="1" si="121"/>
        <v>1295.1205057455368</v>
      </c>
      <c r="AG320" s="306">
        <f t="shared" ca="1" si="143"/>
        <v>-6.650172447393528</v>
      </c>
      <c r="AH320" s="304">
        <f t="shared" ca="1" si="144"/>
        <v>-0.41268909623137884</v>
      </c>
    </row>
    <row r="321" spans="1:34" x14ac:dyDescent="0.2">
      <c r="A321" s="347">
        <f t="shared" ca="1" si="122"/>
        <v>0.1</v>
      </c>
      <c r="B321" s="304">
        <f t="shared" ca="1" si="123"/>
        <v>13.699999999999969</v>
      </c>
      <c r="D321" s="306">
        <f t="shared" ca="1" si="124"/>
        <v>-0.31118419486380022</v>
      </c>
      <c r="E321" s="307">
        <f t="shared" ca="1" si="125"/>
        <v>-10.053337010805068</v>
      </c>
      <c r="F321" s="304">
        <f t="shared" ca="1" si="126"/>
        <v>10.058151950331432</v>
      </c>
      <c r="G321" s="306">
        <f t="shared" ca="1" si="127"/>
        <v>23.424676597982199</v>
      </c>
      <c r="H321" s="307">
        <f t="shared" ca="1" si="128"/>
        <v>17.336417389797788</v>
      </c>
      <c r="I321" s="304">
        <f t="shared" ca="1" si="129"/>
        <v>29.142183199502025</v>
      </c>
      <c r="J321" s="306">
        <f t="shared" ca="1" si="130"/>
        <v>382.48813373193258</v>
      </c>
      <c r="K321" s="307">
        <f t="shared" ca="1" si="131"/>
        <v>1296.9044141695706</v>
      </c>
      <c r="L321" s="304">
        <f t="shared" ca="1" si="116"/>
        <v>1352.1309965895516</v>
      </c>
      <c r="M321" s="306">
        <f t="shared" ca="1" si="132"/>
        <v>0.63712981869944929</v>
      </c>
      <c r="N321" s="304">
        <f t="shared" ca="1" si="133"/>
        <v>36.504849613413761</v>
      </c>
      <c r="P321" s="310">
        <f t="shared" ca="1" si="134"/>
        <v>23</v>
      </c>
      <c r="Q321" s="304">
        <f t="shared" ca="1" si="135"/>
        <v>0</v>
      </c>
      <c r="R321" s="306">
        <f t="shared" ca="1" si="136"/>
        <v>0</v>
      </c>
      <c r="S321" s="307">
        <f t="shared" ca="1" si="137"/>
        <v>7.9769999999999968</v>
      </c>
      <c r="T321" s="304">
        <f t="shared" ca="1" si="117"/>
        <v>78.254369999999966</v>
      </c>
      <c r="U321" s="311">
        <f t="shared" ca="1" si="118"/>
        <v>0</v>
      </c>
      <c r="V321" s="306">
        <f t="shared" ca="1" si="119"/>
        <v>1.075803865532617</v>
      </c>
      <c r="W321" s="304">
        <f t="shared" ca="1" si="120"/>
        <v>3.0179420836179065</v>
      </c>
      <c r="Y321" s="314" t="str">
        <f t="shared" ca="1" si="138"/>
        <v/>
      </c>
      <c r="Z321" s="315" t="str">
        <f t="shared" ca="1" si="139"/>
        <v/>
      </c>
      <c r="AA321" s="316" t="str">
        <f t="shared" ca="1" si="140"/>
        <v/>
      </c>
      <c r="AC321" s="310" t="e">
        <f t="shared" ca="1" si="141"/>
        <v>#N/A</v>
      </c>
      <c r="AD321" s="323" t="e">
        <f t="shared" ca="1" si="142"/>
        <v>#N/A</v>
      </c>
      <c r="AE321" s="324">
        <f t="shared" ca="1" si="121"/>
        <v>1296.9044141695706</v>
      </c>
      <c r="AG321" s="306">
        <f t="shared" ca="1" si="143"/>
        <v>-6.4379570785962112</v>
      </c>
      <c r="AH321" s="304">
        <f t="shared" ca="1" si="144"/>
        <v>-0.39502975072844443</v>
      </c>
    </row>
    <row r="322" spans="1:34" x14ac:dyDescent="0.2">
      <c r="A322" s="347">
        <f t="shared" ca="1" si="122"/>
        <v>0.1</v>
      </c>
      <c r="B322" s="304">
        <f t="shared" ca="1" si="123"/>
        <v>13.799999999999969</v>
      </c>
      <c r="D322" s="306">
        <f t="shared" ca="1" si="124"/>
        <v>-0.30410448744775398</v>
      </c>
      <c r="E322" s="307">
        <f t="shared" ca="1" si="125"/>
        <v>-10.035065319576661</v>
      </c>
      <c r="F322" s="304">
        <f t="shared" ca="1" si="126"/>
        <v>10.039672081669606</v>
      </c>
      <c r="G322" s="306">
        <f t="shared" ca="1" si="127"/>
        <v>23.394266149237424</v>
      </c>
      <c r="H322" s="307">
        <f t="shared" ca="1" si="128"/>
        <v>16.332910857840123</v>
      </c>
      <c r="I322" s="304">
        <f t="shared" ca="1" si="129"/>
        <v>28.531660760486897</v>
      </c>
      <c r="J322" s="306">
        <f t="shared" ca="1" si="130"/>
        <v>384.82908086929353</v>
      </c>
      <c r="K322" s="307">
        <f t="shared" ca="1" si="131"/>
        <v>1298.5878805819525</v>
      </c>
      <c r="L322" s="304">
        <f t="shared" ca="1" si="116"/>
        <v>1354.4090612060422</v>
      </c>
      <c r="M322" s="306">
        <f t="shared" ca="1" si="132"/>
        <v>0.6094891352343943</v>
      </c>
      <c r="N322" s="304">
        <f t="shared" ca="1" si="133"/>
        <v>34.921155108009067</v>
      </c>
      <c r="P322" s="310">
        <f t="shared" ca="1" si="134"/>
        <v>23</v>
      </c>
      <c r="Q322" s="304">
        <f t="shared" ca="1" si="135"/>
        <v>0</v>
      </c>
      <c r="R322" s="306">
        <f t="shared" ca="1" si="136"/>
        <v>0</v>
      </c>
      <c r="S322" s="307">
        <f t="shared" ca="1" si="137"/>
        <v>7.9769999999999968</v>
      </c>
      <c r="T322" s="304">
        <f t="shared" ca="1" si="117"/>
        <v>78.254369999999966</v>
      </c>
      <c r="U322" s="311">
        <f t="shared" ca="1" si="118"/>
        <v>0</v>
      </c>
      <c r="V322" s="306">
        <f t="shared" ca="1" si="119"/>
        <v>1.0756220071835649</v>
      </c>
      <c r="W322" s="304">
        <f t="shared" ca="1" si="120"/>
        <v>2.8923271563017776</v>
      </c>
      <c r="Y322" s="314" t="str">
        <f t="shared" ca="1" si="138"/>
        <v/>
      </c>
      <c r="Z322" s="315" t="str">
        <f t="shared" ca="1" si="139"/>
        <v/>
      </c>
      <c r="AA322" s="316" t="str">
        <f t="shared" ca="1" si="140"/>
        <v/>
      </c>
      <c r="AC322" s="310" t="e">
        <f t="shared" ca="1" si="141"/>
        <v>#N/A</v>
      </c>
      <c r="AD322" s="323" t="e">
        <f t="shared" ca="1" si="142"/>
        <v>#N/A</v>
      </c>
      <c r="AE322" s="324">
        <f t="shared" ca="1" si="121"/>
        <v>1298.5878805819525</v>
      </c>
      <c r="AG322" s="306">
        <f t="shared" ca="1" si="143"/>
        <v>-6.214209448371693</v>
      </c>
      <c r="AH322" s="304">
        <f t="shared" ca="1" si="144"/>
        <v>-0.37833046052625147</v>
      </c>
    </row>
    <row r="323" spans="1:34" x14ac:dyDescent="0.2">
      <c r="A323" s="347">
        <f t="shared" ca="1" si="122"/>
        <v>0.1</v>
      </c>
      <c r="B323" s="304">
        <f t="shared" ca="1" si="123"/>
        <v>13.899999999999968</v>
      </c>
      <c r="D323" s="306">
        <f t="shared" ca="1" si="124"/>
        <v>-0.29729677489487832</v>
      </c>
      <c r="E323" s="307">
        <f t="shared" ca="1" si="125"/>
        <v>-10.017560335156729</v>
      </c>
      <c r="F323" s="304">
        <f t="shared" ca="1" si="126"/>
        <v>10.021970886051719</v>
      </c>
      <c r="G323" s="306">
        <f t="shared" ca="1" si="127"/>
        <v>23.364536471747936</v>
      </c>
      <c r="H323" s="307">
        <f t="shared" ca="1" si="128"/>
        <v>15.33115482432445</v>
      </c>
      <c r="I323" s="304">
        <f t="shared" ca="1" si="129"/>
        <v>27.945408796205619</v>
      </c>
      <c r="J323" s="306">
        <f t="shared" ca="1" si="130"/>
        <v>387.1670210003428</v>
      </c>
      <c r="K323" s="307">
        <f t="shared" ca="1" si="131"/>
        <v>1300.1710838660608</v>
      </c>
      <c r="L323" s="304">
        <f t="shared" ca="1" si="116"/>
        <v>1356.5924773017605</v>
      </c>
      <c r="M323" s="306">
        <f t="shared" ca="1" si="132"/>
        <v>0.58070183742177495</v>
      </c>
      <c r="N323" s="304">
        <f t="shared" ca="1" si="133"/>
        <v>33.271764439759792</v>
      </c>
      <c r="P323" s="310">
        <f t="shared" ca="1" si="134"/>
        <v>23</v>
      </c>
      <c r="Q323" s="304">
        <f t="shared" ca="1" si="135"/>
        <v>0</v>
      </c>
      <c r="R323" s="306">
        <f t="shared" ca="1" si="136"/>
        <v>0</v>
      </c>
      <c r="S323" s="307">
        <f t="shared" ca="1" si="137"/>
        <v>7.9769999999999968</v>
      </c>
      <c r="T323" s="304">
        <f t="shared" ca="1" si="117"/>
        <v>78.254369999999966</v>
      </c>
      <c r="U323" s="311">
        <f t="shared" ca="1" si="118"/>
        <v>0</v>
      </c>
      <c r="V323" s="306">
        <f t="shared" ca="1" si="119"/>
        <v>1.075451006100854</v>
      </c>
      <c r="W323" s="304">
        <f t="shared" ca="1" si="120"/>
        <v>2.7742474587291448</v>
      </c>
      <c r="Y323" s="314" t="str">
        <f t="shared" ca="1" si="138"/>
        <v/>
      </c>
      <c r="Z323" s="315" t="str">
        <f t="shared" ca="1" si="139"/>
        <v/>
      </c>
      <c r="AA323" s="316" t="str">
        <f t="shared" ca="1" si="140"/>
        <v/>
      </c>
      <c r="AC323" s="310" t="e">
        <f t="shared" ca="1" si="141"/>
        <v>#N/A</v>
      </c>
      <c r="AD323" s="323" t="e">
        <f t="shared" ca="1" si="142"/>
        <v>#N/A</v>
      </c>
      <c r="AE323" s="324">
        <f t="shared" ca="1" si="121"/>
        <v>1300.1710838660608</v>
      </c>
      <c r="AG323" s="306">
        <f t="shared" ca="1" si="143"/>
        <v>-5.9783046376526361</v>
      </c>
      <c r="AH323" s="304">
        <f t="shared" ca="1" si="144"/>
        <v>-0.36258332158728579</v>
      </c>
    </row>
    <row r="324" spans="1:34" x14ac:dyDescent="0.2">
      <c r="A324" s="347">
        <f t="shared" ca="1" si="122"/>
        <v>0.1</v>
      </c>
      <c r="B324" s="304">
        <f t="shared" ca="1" si="123"/>
        <v>13.999999999999968</v>
      </c>
      <c r="D324" s="306">
        <f t="shared" ca="1" si="124"/>
        <v>-0.29077181497692156</v>
      </c>
      <c r="E324" s="307">
        <f t="shared" ca="1" si="125"/>
        <v>-10.000796325848425</v>
      </c>
      <c r="F324" s="304">
        <f t="shared" ca="1" si="126"/>
        <v>10.005022508694736</v>
      </c>
      <c r="G324" s="306">
        <f t="shared" ca="1" si="127"/>
        <v>23.335459290250245</v>
      </c>
      <c r="H324" s="307">
        <f t="shared" ca="1" si="128"/>
        <v>14.331075191739608</v>
      </c>
      <c r="I324" s="304">
        <f t="shared" ca="1" si="129"/>
        <v>27.384728891084915</v>
      </c>
      <c r="J324" s="306">
        <f t="shared" ca="1" si="130"/>
        <v>389.50202078844274</v>
      </c>
      <c r="K324" s="307">
        <f t="shared" ca="1" si="131"/>
        <v>1301.6541953668641</v>
      </c>
      <c r="L324" s="304">
        <f t="shared" ref="L324:L387" ca="1" si="145">SQRT(pos_x^2+pos_z^2)</f>
        <v>1358.6815184267573</v>
      </c>
      <c r="M324" s="306">
        <f t="shared" ca="1" si="132"/>
        <v>0.55074663795915502</v>
      </c>
      <c r="N324" s="304">
        <f t="shared" ca="1" si="133"/>
        <v>31.555457936079122</v>
      </c>
      <c r="P324" s="310">
        <f t="shared" ca="1" si="134"/>
        <v>23</v>
      </c>
      <c r="Q324" s="304">
        <f t="shared" ca="1" si="135"/>
        <v>0</v>
      </c>
      <c r="R324" s="306">
        <f t="shared" ca="1" si="136"/>
        <v>0</v>
      </c>
      <c r="S324" s="307">
        <f t="shared" ca="1" si="137"/>
        <v>7.9769999999999968</v>
      </c>
      <c r="T324" s="304">
        <f t="shared" ref="T324:T387" ca="1" si="146">m*g</f>
        <v>78.254369999999966</v>
      </c>
      <c r="U324" s="311">
        <f t="shared" ref="U324:U387" ca="1" si="147">IF(pos_xz&lt;L_rampe,Poids*COS(Beta),0)</f>
        <v>0</v>
      </c>
      <c r="V324" s="306">
        <f t="shared" ref="V324:V387" ca="1" si="148">Rho_moyen*(20000-Alt_rampe-pos_z)/(20000+Alt_rampe+pos_z)</f>
        <v>1.0752908389460927</v>
      </c>
      <c r="W324" s="304">
        <f t="shared" ref="W324:W387" ca="1" si="149">1/2*Rho*Sref*Cx*vit_xz^2</f>
        <v>2.6636457768797488</v>
      </c>
      <c r="Y324" s="314" t="str">
        <f t="shared" ca="1" si="138"/>
        <v/>
      </c>
      <c r="Z324" s="315" t="str">
        <f t="shared" ca="1" si="139"/>
        <v/>
      </c>
      <c r="AA324" s="316" t="str">
        <f t="shared" ca="1" si="140"/>
        <v/>
      </c>
      <c r="AC324" s="310">
        <f t="shared" ca="1" si="141"/>
        <v>13.999999999999968</v>
      </c>
      <c r="AD324" s="323">
        <f t="shared" ca="1" si="142"/>
        <v>389.50202078844274</v>
      </c>
      <c r="AE324" s="324">
        <f t="shared" ref="AE324:AE387" ca="1" si="150">IF(t&lt;T_para, pos_z, NA())</f>
        <v>1301.6541953668641</v>
      </c>
      <c r="AG324" s="306">
        <f t="shared" ca="1" si="143"/>
        <v>-5.7296533638771612</v>
      </c>
      <c r="AH324" s="304">
        <f t="shared" ca="1" si="144"/>
        <v>-0.34778080214731677</v>
      </c>
    </row>
    <row r="325" spans="1:34" x14ac:dyDescent="0.2">
      <c r="A325" s="347">
        <f t="shared" ref="A325:A388" ca="1" si="151">IF(B324+0.01&lt;=T_ini+ROUNDUP(Temps_fin_propu,0), 0.01, IF(K324&gt;0, 0.1, 0.0001))</f>
        <v>0.1</v>
      </c>
      <c r="B325" s="304">
        <f t="shared" ref="B325:B388" ca="1" si="152">B324+pas</f>
        <v>14.099999999999968</v>
      </c>
      <c r="D325" s="306">
        <f t="shared" ref="D325:D388" ca="1" si="153">IF(AND(L324&lt;L_rampe,Poussee&lt;Poids*SIN(M324)),0,(-W324+Poussee)/m*COS(M324)-U324/m*SIN(M324))</f>
        <v>-0.28454095532179841</v>
      </c>
      <c r="E325" s="307">
        <f t="shared" ref="E325:E388" ca="1" si="154">IF(AND(L324&lt;L_rampe,Poussee&lt;Poids*SIN(M324)),0,(-W324+Poussee)/m*SIN(M324)+U324/m*COS(M324)-Poids/m)</f>
        <v>-9.984745985288999</v>
      </c>
      <c r="F325" s="304">
        <f t="shared" ref="F325:F388" ca="1" si="155">SQRT(acc_x^2+acc_z^2)</f>
        <v>9.9887995247677388</v>
      </c>
      <c r="G325" s="306">
        <f t="shared" ref="G325:G388" ca="1" si="156">G324+acc_x*pas</f>
        <v>23.307005194718066</v>
      </c>
      <c r="H325" s="307">
        <f t="shared" ref="H325:H388" ca="1" si="157">H324+acc_z*pas</f>
        <v>13.332600593210708</v>
      </c>
      <c r="I325" s="304">
        <f t="shared" ref="I325:I388" ca="1" si="158">SQRT(vit_x^2+vit_z^2)</f>
        <v>26.85097260295607</v>
      </c>
      <c r="J325" s="306">
        <f t="shared" ref="J325:J388" ca="1" si="159">J324+0.5*(vit_x+G324)*pas*(K324&gt;=0)</f>
        <v>391.83414401269113</v>
      </c>
      <c r="K325" s="307">
        <f t="shared" ref="K325:K388" ca="1" si="160">K324+0.5*(vit_z+H324)*pas</f>
        <v>1303.0373791561117</v>
      </c>
      <c r="L325" s="304">
        <f t="shared" ca="1" si="145"/>
        <v>1360.6764523178119</v>
      </c>
      <c r="M325" s="306">
        <f t="shared" ref="M325:M388" ca="1" si="161">IF(AND(L324&gt;L_rampe,G325&gt;0),ATAN2(G325,H325),$M$4)</f>
        <v>0.51960889892037299</v>
      </c>
      <c r="N325" s="304">
        <f t="shared" ref="N325:N388" ca="1" si="162">DEGREES(Beta)</f>
        <v>29.77139690557717</v>
      </c>
      <c r="P325" s="310">
        <f t="shared" ref="P325:P388" ca="1" si="163">MATCH(t-pas/2-T_ini,CdP_t)</f>
        <v>23</v>
      </c>
      <c r="Q325" s="304">
        <f t="shared" ref="Q325:Q388" ca="1" si="164">(INDEX(CdP,2,i_P+1)-INDEX(CdP,2,i_P+0))/(INDEX(CdP,1,i_P+1)-INDEX(CdP,1,i_P+0))*(t-pas/2-T_ini-INDEX(CdP,1,i_P+0))+INDEX(CdP,2,i_P+0)</f>
        <v>0</v>
      </c>
      <c r="R325" s="306">
        <f t="shared" ref="R325:R388" ca="1" si="165">Poussee/(g*ISP)</f>
        <v>0</v>
      </c>
      <c r="S325" s="307">
        <f t="shared" ref="S325:S388" ca="1" si="166">S324-Débit*pas</f>
        <v>7.9769999999999968</v>
      </c>
      <c r="T325" s="304">
        <f t="shared" ca="1" si="146"/>
        <v>78.254369999999966</v>
      </c>
      <c r="U325" s="311">
        <f t="shared" ca="1" si="147"/>
        <v>0</v>
      </c>
      <c r="V325" s="306">
        <f t="shared" ca="1" si="148"/>
        <v>1.0751414834836601</v>
      </c>
      <c r="W325" s="304">
        <f t="shared" ca="1" si="149"/>
        <v>2.5604676587350257</v>
      </c>
      <c r="Y325" s="314" t="str">
        <f t="shared" ref="Y325:Y388" ca="1" si="167">IF(AND(pos_z&lt;=0,K324&gt;0),"Impact balistique","") &amp; IF(AND(H326&lt;0,vit_z&gt;=0),"Apogée","") &amp; IF(AND(Poussee=0,Q324&gt;0),"Fin de propulsion","") &amp; IF(AND(L326&gt;L_rampe,pos_xz&lt;=L_rampe),"Sortie de rampe","")</f>
        <v/>
      </c>
      <c r="Z325" s="315" t="str">
        <f t="shared" ref="Z325:Z388" ca="1" si="168">IF(ABS(t-T_para)&lt;pas/2,"Para","")</f>
        <v/>
      </c>
      <c r="AA325" s="316" t="str">
        <f t="shared" ref="AA325:AA388" ca="1" si="169">IF(ABS(t-T_satellite)&lt;pas/2,"Satellite","")</f>
        <v/>
      </c>
      <c r="AC325" s="310" t="e">
        <f t="shared" ref="AC325:AC388" ca="1" si="170">IF(ABS(t-ROUND(t,0))&lt;0.001,t,NA())</f>
        <v>#N/A</v>
      </c>
      <c r="AD325" s="323" t="e">
        <f t="shared" ref="AD325:AD388" ca="1" si="171">IF(ABS(t-ROUND(t,0))&lt;0.001,pos_x,NA())</f>
        <v>#N/A</v>
      </c>
      <c r="AE325" s="324">
        <f t="shared" ca="1" si="150"/>
        <v>1303.0373791561117</v>
      </c>
      <c r="AG325" s="306">
        <f t="shared" ref="AG325:AG388" ca="1" si="172">IF(AND(L324&lt;L_rampe,Poussee&lt;Poids*SIN(M324)),0,(-W324+Poussee)/m-Poids*SIN(M324)/m)</f>
        <v>-5.4677203473671332</v>
      </c>
      <c r="AH325" s="304">
        <f t="shared" ref="AH325:AH388" ca="1" si="173">IF(AND(L324&lt;L_rampe,Poussee&lt;Poids*SIN(M324)), g*SIN(M324), (-W324+Poussee)/m)</f>
        <v>-0.33391572983323931</v>
      </c>
    </row>
    <row r="326" spans="1:34" x14ac:dyDescent="0.2">
      <c r="A326" s="347">
        <f t="shared" ca="1" si="151"/>
        <v>0.1</v>
      </c>
      <c r="B326" s="304">
        <f t="shared" ca="1" si="152"/>
        <v>14.199999999999967</v>
      </c>
      <c r="D326" s="306">
        <f t="shared" ca="1" si="153"/>
        <v>-0.27861606491653584</v>
      </c>
      <c r="E326" s="307">
        <f t="shared" ca="1" si="154"/>
        <v>-9.969380267063487</v>
      </c>
      <c r="F326" s="304">
        <f t="shared" ca="1" si="155"/>
        <v>9.9732727738162481</v>
      </c>
      <c r="G326" s="306">
        <f t="shared" ca="1" si="156"/>
        <v>23.279143588226411</v>
      </c>
      <c r="H326" s="307">
        <f t="shared" ca="1" si="157"/>
        <v>12.335662566504359</v>
      </c>
      <c r="I326" s="304">
        <f t="shared" ca="1" si="158"/>
        <v>26.345532774190005</v>
      </c>
      <c r="J326" s="306">
        <f t="shared" ca="1" si="159"/>
        <v>394.16345145183834</v>
      </c>
      <c r="K326" s="307">
        <f t="shared" ca="1" si="160"/>
        <v>1304.3207923140974</v>
      </c>
      <c r="L326" s="304">
        <f t="shared" ca="1" si="145"/>
        <v>1362.5775411782261</v>
      </c>
      <c r="M326" s="306">
        <f t="shared" ca="1" si="161"/>
        <v>0.48728199460985822</v>
      </c>
      <c r="N326" s="304">
        <f t="shared" ca="1" si="162"/>
        <v>27.919201723861406</v>
      </c>
      <c r="P326" s="310">
        <f t="shared" ca="1" si="163"/>
        <v>23</v>
      </c>
      <c r="Q326" s="304">
        <f t="shared" ca="1" si="164"/>
        <v>0</v>
      </c>
      <c r="R326" s="306">
        <f t="shared" ca="1" si="165"/>
        <v>0</v>
      </c>
      <c r="S326" s="307">
        <f t="shared" ca="1" si="166"/>
        <v>7.9769999999999968</v>
      </c>
      <c r="T326" s="304">
        <f t="shared" ca="1" si="146"/>
        <v>78.254369999999966</v>
      </c>
      <c r="U326" s="311">
        <f t="shared" ca="1" si="147"/>
        <v>0</v>
      </c>
      <c r="V326" s="306">
        <f t="shared" ca="1" si="148"/>
        <v>1.075002918547753</v>
      </c>
      <c r="W326" s="304">
        <f t="shared" ca="1" si="149"/>
        <v>2.4646613067820233</v>
      </c>
      <c r="Y326" s="314" t="str">
        <f t="shared" ca="1" si="167"/>
        <v/>
      </c>
      <c r="Z326" s="315" t="str">
        <f t="shared" ca="1" si="168"/>
        <v/>
      </c>
      <c r="AA326" s="316" t="str">
        <f t="shared" ca="1" si="169"/>
        <v/>
      </c>
      <c r="AC326" s="310" t="e">
        <f t="shared" ca="1" si="170"/>
        <v>#N/A</v>
      </c>
      <c r="AD326" s="323" t="e">
        <f t="shared" ca="1" si="171"/>
        <v>#N/A</v>
      </c>
      <c r="AE326" s="324">
        <f t="shared" ca="1" si="150"/>
        <v>1304.3207923140974</v>
      </c>
      <c r="AG326" s="306">
        <f t="shared" ca="1" si="172"/>
        <v>-5.192045494828271</v>
      </c>
      <c r="AH326" s="304">
        <f t="shared" ca="1" si="173"/>
        <v>-0.32098127851761649</v>
      </c>
    </row>
    <row r="327" spans="1:34" x14ac:dyDescent="0.2">
      <c r="A327" s="347">
        <f t="shared" ca="1" si="151"/>
        <v>0.1</v>
      </c>
      <c r="B327" s="304">
        <f t="shared" ca="1" si="152"/>
        <v>14.299999999999967</v>
      </c>
      <c r="D327" s="306">
        <f t="shared" ca="1" si="153"/>
        <v>-0.27300944277833228</v>
      </c>
      <c r="E327" s="307">
        <f t="shared" ca="1" si="154"/>
        <v>-9.9546682241904367</v>
      </c>
      <c r="F327" s="304">
        <f t="shared" ca="1" si="155"/>
        <v>9.9584111990594621</v>
      </c>
      <c r="G327" s="306">
        <f t="shared" ca="1" si="156"/>
        <v>23.251842643948578</v>
      </c>
      <c r="H327" s="307">
        <f t="shared" ca="1" si="157"/>
        <v>11.340195744085316</v>
      </c>
      <c r="I327" s="304">
        <f t="shared" ca="1" si="158"/>
        <v>25.86983235069598</v>
      </c>
      <c r="J327" s="306">
        <f t="shared" ca="1" si="159"/>
        <v>396.49000076344709</v>
      </c>
      <c r="K327" s="307">
        <f t="shared" ca="1" si="160"/>
        <v>1305.5045852296269</v>
      </c>
      <c r="L327" s="304">
        <f t="shared" ca="1" si="145"/>
        <v>1364.3850419734813</v>
      </c>
      <c r="M327" s="306">
        <f t="shared" ca="1" si="161"/>
        <v>0.45376873234633108</v>
      </c>
      <c r="N327" s="304">
        <f t="shared" ca="1" si="162"/>
        <v>25.999033238446252</v>
      </c>
      <c r="P327" s="310">
        <f t="shared" ca="1" si="163"/>
        <v>23</v>
      </c>
      <c r="Q327" s="304">
        <f t="shared" ca="1" si="164"/>
        <v>0</v>
      </c>
      <c r="R327" s="306">
        <f t="shared" ca="1" si="165"/>
        <v>0</v>
      </c>
      <c r="S327" s="307">
        <f t="shared" ca="1" si="166"/>
        <v>7.9769999999999968</v>
      </c>
      <c r="T327" s="304">
        <f t="shared" ca="1" si="146"/>
        <v>78.254369999999966</v>
      </c>
      <c r="U327" s="311">
        <f t="shared" ca="1" si="147"/>
        <v>0</v>
      </c>
      <c r="V327" s="306">
        <f t="shared" ca="1" si="148"/>
        <v>1.0748751240076244</v>
      </c>
      <c r="W327" s="304">
        <f t="shared" ca="1" si="149"/>
        <v>2.3761774673595148</v>
      </c>
      <c r="Y327" s="314" t="str">
        <f t="shared" ca="1" si="167"/>
        <v/>
      </c>
      <c r="Z327" s="315" t="str">
        <f t="shared" ca="1" si="168"/>
        <v/>
      </c>
      <c r="AA327" s="316" t="str">
        <f t="shared" ca="1" si="169"/>
        <v/>
      </c>
      <c r="AC327" s="310" t="e">
        <f t="shared" ca="1" si="170"/>
        <v>#N/A</v>
      </c>
      <c r="AD327" s="323" t="e">
        <f t="shared" ca="1" si="171"/>
        <v>#N/A</v>
      </c>
      <c r="AE327" s="324">
        <f t="shared" ca="1" si="150"/>
        <v>1305.5045852296269</v>
      </c>
      <c r="AG327" s="306">
        <f t="shared" ca="1" si="172"/>
        <v>-4.9022676937861114</v>
      </c>
      <c r="AH327" s="304">
        <f t="shared" ca="1" si="173"/>
        <v>-0.30897095484292647</v>
      </c>
    </row>
    <row r="328" spans="1:34" x14ac:dyDescent="0.2">
      <c r="A328" s="347">
        <f t="shared" ca="1" si="151"/>
        <v>0.1</v>
      </c>
      <c r="B328" s="304">
        <f t="shared" ca="1" si="152"/>
        <v>14.399999999999967</v>
      </c>
      <c r="D328" s="306">
        <f t="shared" ca="1" si="153"/>
        <v>-0.26773370141769631</v>
      </c>
      <c r="E328" s="307">
        <f t="shared" ca="1" si="154"/>
        <v>-9.940576859127134</v>
      </c>
      <c r="F328" s="304">
        <f t="shared" ca="1" si="155"/>
        <v>9.9441816972081067</v>
      </c>
      <c r="G328" s="306">
        <f t="shared" ca="1" si="156"/>
        <v>23.22506927380681</v>
      </c>
      <c r="H328" s="307">
        <f t="shared" ca="1" si="157"/>
        <v>10.346138058172603</v>
      </c>
      <c r="I328" s="304">
        <f t="shared" ca="1" si="158"/>
        <v>25.425310528917688</v>
      </c>
      <c r="J328" s="306">
        <f t="shared" ca="1" si="159"/>
        <v>398.81384635933483</v>
      </c>
      <c r="K328" s="307">
        <f t="shared" ca="1" si="160"/>
        <v>1306.5889019197398</v>
      </c>
      <c r="L328" s="304">
        <f t="shared" ca="1" si="145"/>
        <v>1366.0992067444292</v>
      </c>
      <c r="M328" s="306">
        <f t="shared" ca="1" si="161"/>
        <v>0.41908278261502219</v>
      </c>
      <c r="N328" s="304">
        <f t="shared" ca="1" si="162"/>
        <v>24.011674710439319</v>
      </c>
      <c r="P328" s="310">
        <f t="shared" ca="1" si="163"/>
        <v>23</v>
      </c>
      <c r="Q328" s="304">
        <f t="shared" ca="1" si="164"/>
        <v>0</v>
      </c>
      <c r="R328" s="306">
        <f t="shared" ca="1" si="165"/>
        <v>0</v>
      </c>
      <c r="S328" s="307">
        <f t="shared" ca="1" si="166"/>
        <v>7.9769999999999968</v>
      </c>
      <c r="T328" s="304">
        <f t="shared" ca="1" si="146"/>
        <v>78.254369999999966</v>
      </c>
      <c r="U328" s="311">
        <f t="shared" ca="1" si="147"/>
        <v>0</v>
      </c>
      <c r="V328" s="306">
        <f t="shared" ca="1" si="148"/>
        <v>1.0747580807308423</v>
      </c>
      <c r="W328" s="304">
        <f t="shared" ca="1" si="149"/>
        <v>2.2949693163487863</v>
      </c>
      <c r="Y328" s="314" t="str">
        <f t="shared" ca="1" si="167"/>
        <v/>
      </c>
      <c r="Z328" s="315" t="str">
        <f t="shared" ca="1" si="168"/>
        <v/>
      </c>
      <c r="AA328" s="316" t="str">
        <f t="shared" ca="1" si="169"/>
        <v/>
      </c>
      <c r="AC328" s="310" t="e">
        <f t="shared" ca="1" si="170"/>
        <v>#N/A</v>
      </c>
      <c r="AD328" s="323" t="e">
        <f t="shared" ca="1" si="171"/>
        <v>#N/A</v>
      </c>
      <c r="AE328" s="324">
        <f t="shared" ca="1" si="150"/>
        <v>1306.5889019197398</v>
      </c>
      <c r="AG328" s="306">
        <f t="shared" ca="1" si="172"/>
        <v>-4.5981507601177967</v>
      </c>
      <c r="AH328" s="304">
        <f t="shared" ca="1" si="173"/>
        <v>-0.29787858434994557</v>
      </c>
    </row>
    <row r="329" spans="1:34" x14ac:dyDescent="0.2">
      <c r="A329" s="347">
        <f t="shared" ca="1" si="151"/>
        <v>0.1</v>
      </c>
      <c r="B329" s="304">
        <f t="shared" ca="1" si="152"/>
        <v>14.499999999999966</v>
      </c>
      <c r="D329" s="306">
        <f t="shared" ca="1" si="153"/>
        <v>-0.26280162335152546</v>
      </c>
      <c r="E329" s="307">
        <f t="shared" ca="1" si="154"/>
        <v>-9.9270709910507442</v>
      </c>
      <c r="F329" s="304">
        <f t="shared" ca="1" si="155"/>
        <v>9.930548985559529</v>
      </c>
      <c r="G329" s="306">
        <f t="shared" ca="1" si="156"/>
        <v>23.198789111471658</v>
      </c>
      <c r="H329" s="307">
        <f t="shared" ca="1" si="157"/>
        <v>9.3534309590675289</v>
      </c>
      <c r="I329" s="304">
        <f t="shared" ca="1" si="158"/>
        <v>25.013406144397425</v>
      </c>
      <c r="J329" s="306">
        <f t="shared" ca="1" si="159"/>
        <v>401.13503927859875</v>
      </c>
      <c r="K329" s="307">
        <f t="shared" ca="1" si="160"/>
        <v>1307.5738803706017</v>
      </c>
      <c r="L329" s="304">
        <f t="shared" ca="1" si="145"/>
        <v>1367.7202829396351</v>
      </c>
      <c r="M329" s="306">
        <f t="shared" ca="1" si="161"/>
        <v>0.38325005513447874</v>
      </c>
      <c r="N329" s="304">
        <f t="shared" ca="1" si="162"/>
        <v>21.958610657361739</v>
      </c>
      <c r="P329" s="310">
        <f t="shared" ca="1" si="163"/>
        <v>23</v>
      </c>
      <c r="Q329" s="304">
        <f t="shared" ca="1" si="164"/>
        <v>0</v>
      </c>
      <c r="R329" s="306">
        <f t="shared" ca="1" si="165"/>
        <v>0</v>
      </c>
      <c r="S329" s="307">
        <f t="shared" ca="1" si="166"/>
        <v>7.9769999999999968</v>
      </c>
      <c r="T329" s="304">
        <f t="shared" ca="1" si="146"/>
        <v>78.254369999999966</v>
      </c>
      <c r="U329" s="311">
        <f t="shared" ca="1" si="147"/>
        <v>0</v>
      </c>
      <c r="V329" s="306">
        <f t="shared" ca="1" si="148"/>
        <v>1.0746517705444065</v>
      </c>
      <c r="W329" s="304">
        <f t="shared" ca="1" si="149"/>
        <v>2.2209923407543966</v>
      </c>
      <c r="Y329" s="314" t="str">
        <f t="shared" ca="1" si="167"/>
        <v/>
      </c>
      <c r="Z329" s="315" t="str">
        <f t="shared" ca="1" si="168"/>
        <v/>
      </c>
      <c r="AA329" s="316" t="str">
        <f t="shared" ca="1" si="169"/>
        <v/>
      </c>
      <c r="AC329" s="310" t="e">
        <f t="shared" ca="1" si="170"/>
        <v>#N/A</v>
      </c>
      <c r="AD329" s="323" t="e">
        <f t="shared" ca="1" si="171"/>
        <v>#N/A</v>
      </c>
      <c r="AE329" s="324">
        <f t="shared" ca="1" si="150"/>
        <v>1307.5738803706017</v>
      </c>
      <c r="AG329" s="306">
        <f t="shared" ca="1" si="172"/>
        <v>-4.279610774882884</v>
      </c>
      <c r="AH329" s="304">
        <f t="shared" ca="1" si="173"/>
        <v>-0.28769829714789863</v>
      </c>
    </row>
    <row r="330" spans="1:34" x14ac:dyDescent="0.2">
      <c r="A330" s="347">
        <f t="shared" ca="1" si="151"/>
        <v>0.1</v>
      </c>
      <c r="B330" s="304">
        <f t="shared" ca="1" si="152"/>
        <v>14.599999999999966</v>
      </c>
      <c r="D330" s="306">
        <f t="shared" ca="1" si="153"/>
        <v>-0.25822598989011841</v>
      </c>
      <c r="E330" s="307">
        <f t="shared" ca="1" si="154"/>
        <v>-9.9141131481763303</v>
      </c>
      <c r="F330" s="304">
        <f t="shared" ca="1" si="155"/>
        <v>9.917475494131434</v>
      </c>
      <c r="G330" s="306">
        <f t="shared" ca="1" si="156"/>
        <v>23.172966512482645</v>
      </c>
      <c r="H330" s="307">
        <f t="shared" ca="1" si="157"/>
        <v>8.3620196442498962</v>
      </c>
      <c r="I330" s="304">
        <f t="shared" ca="1" si="158"/>
        <v>24.635538344421526</v>
      </c>
      <c r="J330" s="306">
        <f t="shared" ca="1" si="159"/>
        <v>403.45362705979647</v>
      </c>
      <c r="K330" s="307">
        <f t="shared" ca="1" si="160"/>
        <v>1308.4596529007677</v>
      </c>
      <c r="L330" s="304">
        <f t="shared" ca="1" si="145"/>
        <v>1369.2485137683746</v>
      </c>
      <c r="M330" s="306">
        <f t="shared" ca="1" si="161"/>
        <v>0.3463099431276544</v>
      </c>
      <c r="N330" s="304">
        <f t="shared" ca="1" si="162"/>
        <v>19.842098144630164</v>
      </c>
      <c r="P330" s="310">
        <f t="shared" ca="1" si="163"/>
        <v>23</v>
      </c>
      <c r="Q330" s="304">
        <f t="shared" ca="1" si="164"/>
        <v>0</v>
      </c>
      <c r="R330" s="306">
        <f t="shared" ca="1" si="165"/>
        <v>0</v>
      </c>
      <c r="S330" s="307">
        <f t="shared" ca="1" si="166"/>
        <v>7.9769999999999968</v>
      </c>
      <c r="T330" s="304">
        <f t="shared" ca="1" si="146"/>
        <v>78.254369999999966</v>
      </c>
      <c r="U330" s="311">
        <f t="shared" ca="1" si="147"/>
        <v>0</v>
      </c>
      <c r="V330" s="306">
        <f t="shared" ca="1" si="148"/>
        <v>1.0745561761935956</v>
      </c>
      <c r="W330" s="304">
        <f t="shared" ca="1" si="149"/>
        <v>2.1542042157831416</v>
      </c>
      <c r="Y330" s="314" t="str">
        <f t="shared" ca="1" si="167"/>
        <v/>
      </c>
      <c r="Z330" s="315" t="str">
        <f t="shared" ca="1" si="168"/>
        <v/>
      </c>
      <c r="AA330" s="316" t="str">
        <f t="shared" ca="1" si="169"/>
        <v/>
      </c>
      <c r="AC330" s="310" t="e">
        <f t="shared" ca="1" si="170"/>
        <v>#N/A</v>
      </c>
      <c r="AD330" s="323" t="e">
        <f t="shared" ca="1" si="171"/>
        <v>#N/A</v>
      </c>
      <c r="AE330" s="324">
        <f t="shared" ca="1" si="150"/>
        <v>1308.4596529007677</v>
      </c>
      <c r="AG330" s="306">
        <f t="shared" ca="1" si="172"/>
        <v>-3.9467437007384434</v>
      </c>
      <c r="AH330" s="304">
        <f t="shared" ca="1" si="173"/>
        <v>-0.27842451306937416</v>
      </c>
    </row>
    <row r="331" spans="1:34" x14ac:dyDescent="0.2">
      <c r="A331" s="347">
        <f t="shared" ca="1" si="151"/>
        <v>0.1</v>
      </c>
      <c r="B331" s="304">
        <f t="shared" ca="1" si="152"/>
        <v>14.699999999999966</v>
      </c>
      <c r="D331" s="306">
        <f t="shared" ca="1" si="153"/>
        <v>-0.25401938274639502</v>
      </c>
      <c r="E331" s="307">
        <f t="shared" ca="1" si="154"/>
        <v>-9.9016634936403758</v>
      </c>
      <c r="F331" s="304">
        <f t="shared" ca="1" si="155"/>
        <v>9.9049212913632676</v>
      </c>
      <c r="G331" s="306">
        <f t="shared" ca="1" si="156"/>
        <v>23.147564574208005</v>
      </c>
      <c r="H331" s="307">
        <f t="shared" ca="1" si="157"/>
        <v>7.3718532948858586</v>
      </c>
      <c r="I331" s="304">
        <f t="shared" ca="1" si="158"/>
        <v>24.293084750983127</v>
      </c>
      <c r="J331" s="306">
        <f t="shared" ca="1" si="159"/>
        <v>405.76965361413102</v>
      </c>
      <c r="K331" s="307">
        <f t="shared" ca="1" si="160"/>
        <v>1309.2463465477244</v>
      </c>
      <c r="L331" s="304">
        <f t="shared" ca="1" si="145"/>
        <v>1370.6841385755861</v>
      </c>
      <c r="M331" s="306">
        <f t="shared" ca="1" si="161"/>
        <v>0.30831634636996613</v>
      </c>
      <c r="N331" s="304">
        <f t="shared" ca="1" si="162"/>
        <v>17.665225401892698</v>
      </c>
      <c r="P331" s="310">
        <f t="shared" ca="1" si="163"/>
        <v>23</v>
      </c>
      <c r="Q331" s="304">
        <f t="shared" ca="1" si="164"/>
        <v>0</v>
      </c>
      <c r="R331" s="306">
        <f t="shared" ca="1" si="165"/>
        <v>0</v>
      </c>
      <c r="S331" s="307">
        <f t="shared" ca="1" si="166"/>
        <v>7.9769999999999968</v>
      </c>
      <c r="T331" s="304">
        <f t="shared" ca="1" si="146"/>
        <v>78.254369999999966</v>
      </c>
      <c r="U331" s="311">
        <f t="shared" ca="1" si="147"/>
        <v>0</v>
      </c>
      <c r="V331" s="306">
        <f t="shared" ca="1" si="148"/>
        <v>1.0744712812984309</v>
      </c>
      <c r="W331" s="304">
        <f t="shared" ca="1" si="149"/>
        <v>2.0945646771150419</v>
      </c>
      <c r="Y331" s="314" t="str">
        <f t="shared" ca="1" si="167"/>
        <v/>
      </c>
      <c r="Z331" s="315" t="str">
        <f t="shared" ca="1" si="168"/>
        <v/>
      </c>
      <c r="AA331" s="316" t="str">
        <f t="shared" ca="1" si="169"/>
        <v/>
      </c>
      <c r="AC331" s="310" t="e">
        <f t="shared" ca="1" si="170"/>
        <v>#N/A</v>
      </c>
      <c r="AD331" s="323" t="e">
        <f t="shared" ca="1" si="171"/>
        <v>#N/A</v>
      </c>
      <c r="AE331" s="324">
        <f t="shared" ca="1" si="150"/>
        <v>1309.2463465477244</v>
      </c>
      <c r="AG331" s="306">
        <f t="shared" ca="1" si="172"/>
        <v>-3.5998518097964882</v>
      </c>
      <c r="AH331" s="304">
        <f t="shared" ca="1" si="173"/>
        <v>-0.27005192626089286</v>
      </c>
    </row>
    <row r="332" spans="1:34" x14ac:dyDescent="0.2">
      <c r="A332" s="347">
        <f t="shared" ca="1" si="151"/>
        <v>0.1</v>
      </c>
      <c r="B332" s="304">
        <f t="shared" ca="1" si="152"/>
        <v>14.799999999999965</v>
      </c>
      <c r="D332" s="306">
        <f t="shared" ca="1" si="153"/>
        <v>-0.25019396068826261</v>
      </c>
      <c r="E332" s="307">
        <f t="shared" ca="1" si="154"/>
        <v>-9.8896797938524994</v>
      </c>
      <c r="F332" s="304">
        <f t="shared" ca="1" si="155"/>
        <v>9.8928440522884671</v>
      </c>
      <c r="G332" s="306">
        <f t="shared" ca="1" si="156"/>
        <v>23.122545178139177</v>
      </c>
      <c r="H332" s="307">
        <f t="shared" ca="1" si="157"/>
        <v>6.3828853155006087</v>
      </c>
      <c r="I332" s="304">
        <f t="shared" ca="1" si="158"/>
        <v>23.987357513196834</v>
      </c>
      <c r="J332" s="306">
        <f t="shared" ca="1" si="159"/>
        <v>408.08315910174838</v>
      </c>
      <c r="K332" s="307">
        <f t="shared" ca="1" si="160"/>
        <v>1309.9340834782438</v>
      </c>
      <c r="L332" s="304">
        <f t="shared" ca="1" si="145"/>
        <v>1372.0273932398177</v>
      </c>
      <c r="M332" s="306">
        <f t="shared" ca="1" si="161"/>
        <v>0.26933837670548272</v>
      </c>
      <c r="N332" s="304">
        <f t="shared" ca="1" si="162"/>
        <v>15.431952246128846</v>
      </c>
      <c r="P332" s="310">
        <f t="shared" ca="1" si="163"/>
        <v>23</v>
      </c>
      <c r="Q332" s="304">
        <f t="shared" ca="1" si="164"/>
        <v>0</v>
      </c>
      <c r="R332" s="306">
        <f t="shared" ca="1" si="165"/>
        <v>0</v>
      </c>
      <c r="S332" s="307">
        <f t="shared" ca="1" si="166"/>
        <v>7.9769999999999968</v>
      </c>
      <c r="T332" s="304">
        <f t="shared" ca="1" si="146"/>
        <v>78.254369999999966</v>
      </c>
      <c r="U332" s="311">
        <f t="shared" ca="1" si="147"/>
        <v>0</v>
      </c>
      <c r="V332" s="306">
        <f t="shared" ca="1" si="148"/>
        <v>1.0743970703076964</v>
      </c>
      <c r="W332" s="304">
        <f t="shared" ca="1" si="149"/>
        <v>2.0420353881698388</v>
      </c>
      <c r="Y332" s="314" t="str">
        <f t="shared" ca="1" si="167"/>
        <v/>
      </c>
      <c r="Z332" s="315" t="str">
        <f t="shared" ca="1" si="168"/>
        <v/>
      </c>
      <c r="AA332" s="316" t="str">
        <f t="shared" ca="1" si="169"/>
        <v/>
      </c>
      <c r="AC332" s="310" t="e">
        <f t="shared" ca="1" si="170"/>
        <v>#N/A</v>
      </c>
      <c r="AD332" s="323" t="e">
        <f t="shared" ca="1" si="171"/>
        <v>#N/A</v>
      </c>
      <c r="AE332" s="324">
        <f t="shared" ca="1" si="150"/>
        <v>1309.9340834782438</v>
      </c>
      <c r="AG332" s="306">
        <f t="shared" ca="1" si="172"/>
        <v>-3.2394671257877721</v>
      </c>
      <c r="AH332" s="304">
        <f t="shared" ca="1" si="173"/>
        <v>-0.26257548917074625</v>
      </c>
    </row>
    <row r="333" spans="1:34" x14ac:dyDescent="0.2">
      <c r="A333" s="347">
        <f t="shared" ca="1" si="151"/>
        <v>0.1</v>
      </c>
      <c r="B333" s="304">
        <f t="shared" ca="1" si="152"/>
        <v>14.899999999999965</v>
      </c>
      <c r="D333" s="306">
        <f t="shared" ca="1" si="153"/>
        <v>-0.24676121541649512</v>
      </c>
      <c r="E333" s="307">
        <f t="shared" ca="1" si="154"/>
        <v>-9.878117438032131</v>
      </c>
      <c r="F333" s="304">
        <f t="shared" ca="1" si="155"/>
        <v>9.8811990778947614</v>
      </c>
      <c r="G333" s="306">
        <f t="shared" ca="1" si="156"/>
        <v>23.097869056597528</v>
      </c>
      <c r="H333" s="307">
        <f t="shared" ca="1" si="157"/>
        <v>5.3950735716973952</v>
      </c>
      <c r="I333" s="304">
        <f t="shared" ca="1" si="158"/>
        <v>23.719577858801646</v>
      </c>
      <c r="J333" s="306">
        <f t="shared" ca="1" si="159"/>
        <v>410.39417981348521</v>
      </c>
      <c r="K333" s="307">
        <f t="shared" ca="1" si="160"/>
        <v>1310.5229814226036</v>
      </c>
      <c r="L333" s="304">
        <f t="shared" ca="1" si="145"/>
        <v>1373.2785105948367</v>
      </c>
      <c r="M333" s="306">
        <f t="shared" ca="1" si="161"/>
        <v>0.22946065010869102</v>
      </c>
      <c r="N333" s="304">
        <f t="shared" ca="1" si="162"/>
        <v>13.14712681555609</v>
      </c>
      <c r="P333" s="310">
        <f t="shared" ca="1" si="163"/>
        <v>23</v>
      </c>
      <c r="Q333" s="304">
        <f t="shared" ca="1" si="164"/>
        <v>0</v>
      </c>
      <c r="R333" s="306">
        <f t="shared" ca="1" si="165"/>
        <v>0</v>
      </c>
      <c r="S333" s="307">
        <f t="shared" ca="1" si="166"/>
        <v>7.9769999999999968</v>
      </c>
      <c r="T333" s="304">
        <f t="shared" ca="1" si="146"/>
        <v>78.254369999999966</v>
      </c>
      <c r="U333" s="311">
        <f t="shared" ca="1" si="147"/>
        <v>0</v>
      </c>
      <c r="V333" s="306">
        <f t="shared" ca="1" si="148"/>
        <v>1.0743335284505044</v>
      </c>
      <c r="W333" s="304">
        <f t="shared" ca="1" si="149"/>
        <v>1.9965798023064241</v>
      </c>
      <c r="Y333" s="314" t="str">
        <f t="shared" ca="1" si="167"/>
        <v/>
      </c>
      <c r="Z333" s="315" t="str">
        <f t="shared" ca="1" si="168"/>
        <v/>
      </c>
      <c r="AA333" s="316" t="str">
        <f t="shared" ca="1" si="169"/>
        <v/>
      </c>
      <c r="AC333" s="310" t="e">
        <f t="shared" ca="1" si="170"/>
        <v>#N/A</v>
      </c>
      <c r="AD333" s="323" t="e">
        <f t="shared" ca="1" si="171"/>
        <v>#N/A</v>
      </c>
      <c r="AE333" s="324">
        <f t="shared" ca="1" si="150"/>
        <v>1310.5229814226036</v>
      </c>
      <c r="AG333" s="306">
        <f t="shared" ca="1" si="172"/>
        <v>-2.8663698389395007</v>
      </c>
      <c r="AH333" s="304">
        <f t="shared" ca="1" si="173"/>
        <v>-0.25599039590946965</v>
      </c>
    </row>
    <row r="334" spans="1:34" x14ac:dyDescent="0.2">
      <c r="A334" s="347">
        <f t="shared" ca="1" si="151"/>
        <v>0.1</v>
      </c>
      <c r="B334" s="304">
        <f t="shared" ca="1" si="152"/>
        <v>14.999999999999964</v>
      </c>
      <c r="D334" s="306">
        <f t="shared" ca="1" si="153"/>
        <v>-0.24373171298051458</v>
      </c>
      <c r="E334" s="307">
        <f t="shared" ca="1" si="154"/>
        <v>-9.8669295167473532</v>
      </c>
      <c r="F334" s="304">
        <f t="shared" ca="1" si="155"/>
        <v>9.8699393734902223</v>
      </c>
      <c r="G334" s="306">
        <f t="shared" ca="1" si="156"/>
        <v>23.073495885299476</v>
      </c>
      <c r="H334" s="307">
        <f t="shared" ca="1" si="157"/>
        <v>4.4083806200226601</v>
      </c>
      <c r="I334" s="304">
        <f t="shared" ca="1" si="158"/>
        <v>23.490849964612249</v>
      </c>
      <c r="J334" s="306">
        <f t="shared" ca="1" si="159"/>
        <v>412.70274806058006</v>
      </c>
      <c r="K334" s="307">
        <f t="shared" ca="1" si="160"/>
        <v>1311.0131541321896</v>
      </c>
      <c r="L334" s="304">
        <f t="shared" ca="1" si="145"/>
        <v>1374.4377208751173</v>
      </c>
      <c r="M334" s="306">
        <f t="shared" ca="1" si="161"/>
        <v>0.18878307918317075</v>
      </c>
      <c r="N334" s="304">
        <f t="shared" ca="1" si="162"/>
        <v>10.816473680679712</v>
      </c>
      <c r="P334" s="310">
        <f t="shared" ca="1" si="163"/>
        <v>23</v>
      </c>
      <c r="Q334" s="304">
        <f t="shared" ca="1" si="164"/>
        <v>0</v>
      </c>
      <c r="R334" s="306">
        <f t="shared" ca="1" si="165"/>
        <v>0</v>
      </c>
      <c r="S334" s="307">
        <f t="shared" ca="1" si="166"/>
        <v>7.9769999999999968</v>
      </c>
      <c r="T334" s="304">
        <f t="shared" ca="1" si="146"/>
        <v>78.254369999999966</v>
      </c>
      <c r="U334" s="311">
        <f t="shared" ca="1" si="147"/>
        <v>0</v>
      </c>
      <c r="V334" s="306">
        <f t="shared" ca="1" si="148"/>
        <v>1.074280641685444</v>
      </c>
      <c r="W334" s="304">
        <f t="shared" ca="1" si="149"/>
        <v>1.9581630200490461</v>
      </c>
      <c r="Y334" s="314" t="str">
        <f t="shared" ca="1" si="167"/>
        <v/>
      </c>
      <c r="Z334" s="315" t="str">
        <f t="shared" ca="1" si="168"/>
        <v/>
      </c>
      <c r="AA334" s="316" t="str">
        <f t="shared" ca="1" si="169"/>
        <v/>
      </c>
      <c r="AC334" s="310">
        <f t="shared" ca="1" si="170"/>
        <v>14.999999999999964</v>
      </c>
      <c r="AD334" s="323">
        <f t="shared" ca="1" si="171"/>
        <v>412.70274806058006</v>
      </c>
      <c r="AE334" s="324">
        <f t="shared" ca="1" si="150"/>
        <v>1311.0131541321896</v>
      </c>
      <c r="AG334" s="306">
        <f t="shared" ca="1" si="172"/>
        <v>-2.4815995550749892</v>
      </c>
      <c r="AH334" s="304">
        <f t="shared" ca="1" si="173"/>
        <v>-0.25029206497510653</v>
      </c>
    </row>
    <row r="335" spans="1:34" x14ac:dyDescent="0.2">
      <c r="A335" s="347">
        <f t="shared" ca="1" si="151"/>
        <v>0.1</v>
      </c>
      <c r="B335" s="304">
        <f t="shared" ca="1" si="152"/>
        <v>15.099999999999964</v>
      </c>
      <c r="D335" s="306">
        <f t="shared" ca="1" si="153"/>
        <v>-0.24111482915931062</v>
      </c>
      <c r="E335" s="307">
        <f t="shared" ca="1" si="154"/>
        <v>-9.8560669655499922</v>
      </c>
      <c r="F335" s="304">
        <f t="shared" ca="1" si="155"/>
        <v>9.859015792169437</v>
      </c>
      <c r="G335" s="306">
        <f t="shared" ca="1" si="156"/>
        <v>23.049384402383545</v>
      </c>
      <c r="H335" s="307">
        <f t="shared" ca="1" si="157"/>
        <v>3.4227739234676609</v>
      </c>
      <c r="I335" s="304">
        <f t="shared" ca="1" si="158"/>
        <v>23.302135152384899</v>
      </c>
      <c r="J335" s="306">
        <f t="shared" ca="1" si="159"/>
        <v>415.00889207496419</v>
      </c>
      <c r="K335" s="307">
        <f t="shared" ca="1" si="160"/>
        <v>1311.4047118593642</v>
      </c>
      <c r="L335" s="304">
        <f t="shared" ca="1" si="145"/>
        <v>1375.505252184895</v>
      </c>
      <c r="M335" s="306">
        <f t="shared" ca="1" si="161"/>
        <v>0.14742010059527036</v>
      </c>
      <c r="N335" s="304">
        <f t="shared" ca="1" si="162"/>
        <v>8.4465495795030261</v>
      </c>
      <c r="P335" s="310">
        <f t="shared" ca="1" si="163"/>
        <v>23</v>
      </c>
      <c r="Q335" s="304">
        <f t="shared" ca="1" si="164"/>
        <v>0</v>
      </c>
      <c r="R335" s="306">
        <f t="shared" ca="1" si="165"/>
        <v>0</v>
      </c>
      <c r="S335" s="307">
        <f t="shared" ca="1" si="166"/>
        <v>7.9769999999999968</v>
      </c>
      <c r="T335" s="304">
        <f t="shared" ca="1" si="146"/>
        <v>78.254369999999966</v>
      </c>
      <c r="U335" s="311">
        <f t="shared" ca="1" si="147"/>
        <v>0</v>
      </c>
      <c r="V335" s="306">
        <f t="shared" ca="1" si="148"/>
        <v>1.0742383966474298</v>
      </c>
      <c r="W335" s="304">
        <f t="shared" ca="1" si="149"/>
        <v>1.9267516416093438</v>
      </c>
      <c r="Y335" s="314" t="str">
        <f t="shared" ca="1" si="167"/>
        <v/>
      </c>
      <c r="Z335" s="315" t="str">
        <f t="shared" ca="1" si="168"/>
        <v/>
      </c>
      <c r="AA335" s="316" t="str">
        <f t="shared" ca="1" si="169"/>
        <v/>
      </c>
      <c r="AC335" s="310" t="e">
        <f t="shared" ca="1" si="170"/>
        <v>#N/A</v>
      </c>
      <c r="AD335" s="323" t="e">
        <f t="shared" ca="1" si="171"/>
        <v>#N/A</v>
      </c>
      <c r="AE335" s="324">
        <f t="shared" ca="1" si="150"/>
        <v>1311.4047118593642</v>
      </c>
      <c r="AG335" s="306">
        <f t="shared" ca="1" si="172"/>
        <v>-2.0864573522415415</v>
      </c>
      <c r="AH335" s="304">
        <f t="shared" ca="1" si="173"/>
        <v>-0.24547612135502656</v>
      </c>
    </row>
    <row r="336" spans="1:34" x14ac:dyDescent="0.2">
      <c r="A336" s="347">
        <f t="shared" ca="1" si="151"/>
        <v>0.1</v>
      </c>
      <c r="B336" s="304">
        <f t="shared" ca="1" si="152"/>
        <v>15.199999999999964</v>
      </c>
      <c r="D336" s="306">
        <f t="shared" ca="1" si="153"/>
        <v>-0.23891848909634925</v>
      </c>
      <c r="E336" s="307">
        <f t="shared" ca="1" si="154"/>
        <v>-9.8454787772218655</v>
      </c>
      <c r="F336" s="304">
        <f t="shared" ca="1" si="155"/>
        <v>9.8483772468949553</v>
      </c>
      <c r="G336" s="306">
        <f t="shared" ca="1" si="156"/>
        <v>23.02549255347391</v>
      </c>
      <c r="H336" s="307">
        <f t="shared" ca="1" si="157"/>
        <v>2.4382260457454743</v>
      </c>
      <c r="I336" s="304">
        <f t="shared" ca="1" si="158"/>
        <v>23.154227553089179</v>
      </c>
      <c r="J336" s="306">
        <f t="shared" ca="1" si="159"/>
        <v>417.31263592275707</v>
      </c>
      <c r="K336" s="307">
        <f t="shared" ca="1" si="160"/>
        <v>1311.6977618578248</v>
      </c>
      <c r="L336" s="304">
        <f t="shared" ca="1" si="145"/>
        <v>1376.4813309898636</v>
      </c>
      <c r="M336" s="306">
        <f t="shared" ca="1" si="161"/>
        <v>0.10549930337029356</v>
      </c>
      <c r="N336" s="304">
        <f t="shared" ca="1" si="162"/>
        <v>6.0446648246881232</v>
      </c>
      <c r="P336" s="310">
        <f t="shared" ca="1" si="163"/>
        <v>23</v>
      </c>
      <c r="Q336" s="304">
        <f t="shared" ca="1" si="164"/>
        <v>0</v>
      </c>
      <c r="R336" s="306">
        <f t="shared" ca="1" si="165"/>
        <v>0</v>
      </c>
      <c r="S336" s="307">
        <f t="shared" ca="1" si="166"/>
        <v>7.9769999999999968</v>
      </c>
      <c r="T336" s="304">
        <f t="shared" ca="1" si="146"/>
        <v>78.254369999999966</v>
      </c>
      <c r="U336" s="311">
        <f t="shared" ca="1" si="147"/>
        <v>0</v>
      </c>
      <c r="V336" s="306">
        <f t="shared" ca="1" si="148"/>
        <v>1.0742067805924291</v>
      </c>
      <c r="W336" s="304">
        <f t="shared" ca="1" si="149"/>
        <v>1.9023136151608764</v>
      </c>
      <c r="Y336" s="314" t="str">
        <f t="shared" ca="1" si="167"/>
        <v/>
      </c>
      <c r="Z336" s="315" t="str">
        <f t="shared" ca="1" si="168"/>
        <v/>
      </c>
      <c r="AA336" s="316" t="str">
        <f t="shared" ca="1" si="169"/>
        <v/>
      </c>
      <c r="AC336" s="310" t="e">
        <f t="shared" ca="1" si="170"/>
        <v>#N/A</v>
      </c>
      <c r="AD336" s="323" t="e">
        <f t="shared" ca="1" si="171"/>
        <v>#N/A</v>
      </c>
      <c r="AE336" s="324">
        <f t="shared" ca="1" si="150"/>
        <v>1311.6977618578248</v>
      </c>
      <c r="AG336" s="306">
        <f t="shared" ca="1" si="172"/>
        <v>-1.6824969841759378</v>
      </c>
      <c r="AH336" s="304">
        <f t="shared" ca="1" si="173"/>
        <v>-0.24153837803802738</v>
      </c>
    </row>
    <row r="337" spans="1:34" x14ac:dyDescent="0.2">
      <c r="A337" s="347">
        <f t="shared" ca="1" si="151"/>
        <v>0.1</v>
      </c>
      <c r="B337" s="304">
        <f t="shared" ca="1" si="152"/>
        <v>15.299999999999963</v>
      </c>
      <c r="D337" s="306">
        <f t="shared" ca="1" si="153"/>
        <v>-0.23714892281746847</v>
      </c>
      <c r="E337" s="307">
        <f t="shared" ca="1" si="154"/>
        <v>-9.8351122827879234</v>
      </c>
      <c r="F337" s="304">
        <f t="shared" ca="1" si="155"/>
        <v>9.8379709913497582</v>
      </c>
      <c r="G337" s="306">
        <f t="shared" ca="1" si="156"/>
        <v>23.001777661192165</v>
      </c>
      <c r="H337" s="307">
        <f t="shared" ca="1" si="157"/>
        <v>1.454714817466682</v>
      </c>
      <c r="I337" s="304">
        <f t="shared" ca="1" si="158"/>
        <v>23.047732443237795</v>
      </c>
      <c r="J337" s="306">
        <f t="shared" ca="1" si="159"/>
        <v>419.61399943349039</v>
      </c>
      <c r="K337" s="307">
        <f t="shared" ca="1" si="160"/>
        <v>1311.8924089009854</v>
      </c>
      <c r="L337" s="304">
        <f t="shared" ca="1" si="145"/>
        <v>1377.3661826299494</v>
      </c>
      <c r="M337" s="306">
        <f t="shared" ca="1" si="161"/>
        <v>6.3159464509582916E-2</v>
      </c>
      <c r="N337" s="304">
        <f t="shared" ca="1" si="162"/>
        <v>3.6187707527054109</v>
      </c>
      <c r="P337" s="310">
        <f t="shared" ca="1" si="163"/>
        <v>23</v>
      </c>
      <c r="Q337" s="304">
        <f t="shared" ca="1" si="164"/>
        <v>0</v>
      </c>
      <c r="R337" s="306">
        <f t="shared" ca="1" si="165"/>
        <v>0</v>
      </c>
      <c r="S337" s="307">
        <f t="shared" ca="1" si="166"/>
        <v>7.9769999999999968</v>
      </c>
      <c r="T337" s="304">
        <f t="shared" ca="1" si="146"/>
        <v>78.254369999999966</v>
      </c>
      <c r="U337" s="311">
        <f t="shared" ca="1" si="147"/>
        <v>0</v>
      </c>
      <c r="V337" s="306">
        <f t="shared" ca="1" si="148"/>
        <v>1.0741857813403273</v>
      </c>
      <c r="W337" s="304">
        <f t="shared" ca="1" si="149"/>
        <v>1.8848180815144899</v>
      </c>
      <c r="Y337" s="314" t="str">
        <f t="shared" ca="1" si="167"/>
        <v/>
      </c>
      <c r="Z337" s="315" t="str">
        <f t="shared" ca="1" si="168"/>
        <v/>
      </c>
      <c r="AA337" s="316" t="str">
        <f t="shared" ca="1" si="169"/>
        <v/>
      </c>
      <c r="AC337" s="310" t="e">
        <f t="shared" ca="1" si="170"/>
        <v>#N/A</v>
      </c>
      <c r="AD337" s="323" t="e">
        <f t="shared" ca="1" si="171"/>
        <v>#N/A</v>
      </c>
      <c r="AE337" s="324">
        <f t="shared" ca="1" si="150"/>
        <v>1311.8924089009854</v>
      </c>
      <c r="AG337" s="306">
        <f t="shared" ca="1" si="172"/>
        <v>-1.2715042045613312</v>
      </c>
      <c r="AH337" s="304">
        <f t="shared" ca="1" si="173"/>
        <v>-0.2384748169939673</v>
      </c>
    </row>
    <row r="338" spans="1:34" x14ac:dyDescent="0.2">
      <c r="A338" s="347">
        <f t="shared" ca="1" si="151"/>
        <v>0.1</v>
      </c>
      <c r="B338" s="304">
        <f t="shared" ca="1" si="152"/>
        <v>15.399999999999963</v>
      </c>
      <c r="D338" s="306">
        <f t="shared" ca="1" si="153"/>
        <v>-0.23581044882019189</v>
      </c>
      <c r="E338" s="307">
        <f t="shared" ca="1" si="154"/>
        <v>-9.8249134975159329</v>
      </c>
      <c r="F338" s="304">
        <f t="shared" ca="1" si="155"/>
        <v>9.8277429657802688</v>
      </c>
      <c r="G338" s="306">
        <f t="shared" ca="1" si="156"/>
        <v>22.978196616310147</v>
      </c>
      <c r="H338" s="307">
        <f t="shared" ca="1" si="157"/>
        <v>0.47222346771508861</v>
      </c>
      <c r="I338" s="304">
        <f t="shared" ca="1" si="158"/>
        <v>22.983048421418513</v>
      </c>
      <c r="J338" s="306">
        <f t="shared" ca="1" si="159"/>
        <v>421.9129981473655</v>
      </c>
      <c r="K338" s="307">
        <f t="shared" ca="1" si="160"/>
        <v>1311.9887558152445</v>
      </c>
      <c r="L338" s="304">
        <f t="shared" ca="1" si="145"/>
        <v>1378.1600318509211</v>
      </c>
      <c r="M338" s="306">
        <f t="shared" ca="1" si="161"/>
        <v>2.0548044420643004E-2</v>
      </c>
      <c r="N338" s="304">
        <f t="shared" ca="1" si="162"/>
        <v>1.177316222550183</v>
      </c>
      <c r="P338" s="310">
        <f t="shared" ca="1" si="163"/>
        <v>23</v>
      </c>
      <c r="Q338" s="304">
        <f t="shared" ca="1" si="164"/>
        <v>0</v>
      </c>
      <c r="R338" s="306">
        <f t="shared" ca="1" si="165"/>
        <v>0</v>
      </c>
      <c r="S338" s="307">
        <f t="shared" ca="1" si="166"/>
        <v>7.9769999999999968</v>
      </c>
      <c r="T338" s="304">
        <f t="shared" ca="1" si="146"/>
        <v>78.254369999999966</v>
      </c>
      <c r="U338" s="311">
        <f t="shared" ca="1" si="147"/>
        <v>0</v>
      </c>
      <c r="V338" s="306">
        <f t="shared" ca="1" si="148"/>
        <v>1.0741753872162556</v>
      </c>
      <c r="W338" s="304">
        <f t="shared" ca="1" si="149"/>
        <v>1.8742352160282629</v>
      </c>
      <c r="Y338" s="314" t="str">
        <f t="shared" ca="1" si="167"/>
        <v>Apogée</v>
      </c>
      <c r="Z338" s="315" t="str">
        <f t="shared" ca="1" si="168"/>
        <v/>
      </c>
      <c r="AA338" s="316" t="str">
        <f t="shared" ca="1" si="169"/>
        <v/>
      </c>
      <c r="AC338" s="310" t="e">
        <f t="shared" ca="1" si="170"/>
        <v>#N/A</v>
      </c>
      <c r="AD338" s="323" t="e">
        <f t="shared" ca="1" si="171"/>
        <v>#N/A</v>
      </c>
      <c r="AE338" s="324">
        <f t="shared" ca="1" si="150"/>
        <v>1311.9887558152445</v>
      </c>
      <c r="AG338" s="306">
        <f t="shared" ca="1" si="172"/>
        <v>-0.8554640595412516</v>
      </c>
      <c r="AH338" s="304">
        <f t="shared" ca="1" si="173"/>
        <v>-0.23628156970220518</v>
      </c>
    </row>
    <row r="339" spans="1:34" x14ac:dyDescent="0.2">
      <c r="A339" s="347">
        <f t="shared" ca="1" si="151"/>
        <v>0.1</v>
      </c>
      <c r="B339" s="304">
        <f t="shared" ca="1" si="152"/>
        <v>15.499999999999963</v>
      </c>
      <c r="D339" s="306">
        <f t="shared" ca="1" si="153"/>
        <v>-0.23490529750003641</v>
      </c>
      <c r="E339" s="307">
        <f t="shared" ca="1" si="154"/>
        <v>-9.8148275239359464</v>
      </c>
      <c r="F339" s="304">
        <f t="shared" ca="1" si="155"/>
        <v>9.8176381998627456</v>
      </c>
      <c r="G339" s="306">
        <f t="shared" ca="1" si="156"/>
        <v>22.954706086560144</v>
      </c>
      <c r="H339" s="307">
        <f t="shared" ca="1" si="157"/>
        <v>-0.50925928467850612</v>
      </c>
      <c r="I339" s="304">
        <f t="shared" ca="1" si="158"/>
        <v>22.960354451519091</v>
      </c>
      <c r="J339" s="306">
        <f t="shared" ca="1" si="159"/>
        <v>424.20964328250903</v>
      </c>
      <c r="K339" s="307">
        <f t="shared" ca="1" si="160"/>
        <v>1311.9869040243964</v>
      </c>
      <c r="L339" s="304">
        <f t="shared" ca="1" si="145"/>
        <v>1378.8631033519587</v>
      </c>
      <c r="M339" s="306">
        <f t="shared" ca="1" si="161"/>
        <v>-2.2181758996605332E-2</v>
      </c>
      <c r="N339" s="304">
        <f t="shared" ca="1" si="162"/>
        <v>-1.2709211726818292</v>
      </c>
      <c r="P339" s="310">
        <f t="shared" ca="1" si="163"/>
        <v>23</v>
      </c>
      <c r="Q339" s="304">
        <f t="shared" ca="1" si="164"/>
        <v>0</v>
      </c>
      <c r="R339" s="306">
        <f t="shared" ca="1" si="165"/>
        <v>0</v>
      </c>
      <c r="S339" s="307">
        <f t="shared" ca="1" si="166"/>
        <v>7.9769999999999968</v>
      </c>
      <c r="T339" s="304">
        <f t="shared" ca="1" si="146"/>
        <v>78.254369999999966</v>
      </c>
      <c r="U339" s="311">
        <f t="shared" ca="1" si="147"/>
        <v>0</v>
      </c>
      <c r="V339" s="306">
        <f t="shared" ca="1" si="148"/>
        <v>1.0741755869907748</v>
      </c>
      <c r="W339" s="304">
        <f t="shared" ca="1" si="149"/>
        <v>1.8705360687535197</v>
      </c>
      <c r="Y339" s="314" t="str">
        <f t="shared" ca="1" si="167"/>
        <v/>
      </c>
      <c r="Z339" s="315" t="str">
        <f t="shared" ca="1" si="168"/>
        <v/>
      </c>
      <c r="AA339" s="316" t="str">
        <f t="shared" ca="1" si="169"/>
        <v/>
      </c>
      <c r="AC339" s="310" t="e">
        <f t="shared" ca="1" si="170"/>
        <v>#N/A</v>
      </c>
      <c r="AD339" s="323" t="e">
        <f t="shared" ca="1" si="171"/>
        <v>#N/A</v>
      </c>
      <c r="AE339" s="324">
        <f t="shared" ca="1" si="150"/>
        <v>1311.9869040243964</v>
      </c>
      <c r="AG339" s="306">
        <f t="shared" ca="1" si="172"/>
        <v>-0.43651702840244855</v>
      </c>
      <c r="AH339" s="304">
        <f t="shared" ca="1" si="173"/>
        <v>-0.23495489733336639</v>
      </c>
    </row>
    <row r="340" spans="1:34" x14ac:dyDescent="0.2">
      <c r="A340" s="347">
        <f t="shared" ca="1" si="151"/>
        <v>0.1</v>
      </c>
      <c r="B340" s="304">
        <f t="shared" ca="1" si="152"/>
        <v>15.599999999999962</v>
      </c>
      <c r="D340" s="306">
        <f t="shared" ca="1" si="153"/>
        <v>-0.23443348467927919</v>
      </c>
      <c r="E340" s="307">
        <f t="shared" ca="1" si="154"/>
        <v>-9.8047989998973524</v>
      </c>
      <c r="F340" s="304">
        <f t="shared" ca="1" si="155"/>
        <v>9.807601260610415</v>
      </c>
      <c r="G340" s="306">
        <f t="shared" ca="1" si="156"/>
        <v>22.931262738092215</v>
      </c>
      <c r="H340" s="307">
        <f t="shared" ca="1" si="157"/>
        <v>-1.4897391846682413</v>
      </c>
      <c r="I340" s="304">
        <f t="shared" ca="1" si="158"/>
        <v>22.979602555347913</v>
      </c>
      <c r="J340" s="306">
        <f t="shared" ca="1" si="159"/>
        <v>426.50394172374166</v>
      </c>
      <c r="K340" s="307">
        <f t="shared" ca="1" si="160"/>
        <v>1311.886954100929</v>
      </c>
      <c r="L340" s="304">
        <f t="shared" ca="1" si="145"/>
        <v>1379.4756223457166</v>
      </c>
      <c r="M340" s="306">
        <f t="shared" ca="1" si="161"/>
        <v>-6.4874258131447662E-2</v>
      </c>
      <c r="N340" s="304">
        <f t="shared" ca="1" si="162"/>
        <v>-3.7170211899742132</v>
      </c>
      <c r="P340" s="310">
        <f t="shared" ca="1" si="163"/>
        <v>23</v>
      </c>
      <c r="Q340" s="304">
        <f t="shared" ca="1" si="164"/>
        <v>0</v>
      </c>
      <c r="R340" s="306">
        <f t="shared" ca="1" si="165"/>
        <v>0</v>
      </c>
      <c r="S340" s="307">
        <f t="shared" ca="1" si="166"/>
        <v>7.9769999999999968</v>
      </c>
      <c r="T340" s="304">
        <f t="shared" ca="1" si="146"/>
        <v>78.254369999999966</v>
      </c>
      <c r="U340" s="311">
        <f t="shared" ca="1" si="147"/>
        <v>0</v>
      </c>
      <c r="V340" s="306">
        <f t="shared" ca="1" si="148"/>
        <v>1.074186369819365</v>
      </c>
      <c r="W340" s="304">
        <f t="shared" ca="1" si="149"/>
        <v>1.8736924039572154</v>
      </c>
      <c r="Y340" s="314" t="str">
        <f t="shared" ca="1" si="167"/>
        <v/>
      </c>
      <c r="Z340" s="315" t="str">
        <f t="shared" ca="1" si="168"/>
        <v>Para</v>
      </c>
      <c r="AA340" s="316" t="str">
        <f t="shared" ca="1" si="169"/>
        <v/>
      </c>
      <c r="AC340" s="310" t="e">
        <f t="shared" ca="1" si="170"/>
        <v>#N/A</v>
      </c>
      <c r="AD340" s="323" t="e">
        <f t="shared" ca="1" si="171"/>
        <v>#N/A</v>
      </c>
      <c r="AE340" s="324" t="e">
        <f t="shared" ca="1" si="150"/>
        <v>#N/A</v>
      </c>
      <c r="AG340" s="306">
        <f t="shared" ca="1" si="172"/>
        <v>-1.6905959068546306E-2</v>
      </c>
      <c r="AH340" s="304">
        <f t="shared" ca="1" si="173"/>
        <v>-0.23449117070998127</v>
      </c>
    </row>
    <row r="341" spans="1:34" x14ac:dyDescent="0.2">
      <c r="A341" s="347">
        <f t="shared" ca="1" si="151"/>
        <v>0.1</v>
      </c>
      <c r="B341" s="304">
        <f t="shared" ca="1" si="152"/>
        <v>15.699999999999962</v>
      </c>
      <c r="D341" s="306">
        <f t="shared" ca="1" si="153"/>
        <v>-0.23439274297422935</v>
      </c>
      <c r="E341" s="307">
        <f t="shared" ca="1" si="154"/>
        <v>-9.7947725762946956</v>
      </c>
      <c r="F341" s="304">
        <f t="shared" ca="1" si="155"/>
        <v>9.7975767299518317</v>
      </c>
      <c r="G341" s="306">
        <f t="shared" ca="1" si="156"/>
        <v>22.907823463794792</v>
      </c>
      <c r="H341" s="307">
        <f t="shared" ca="1" si="157"/>
        <v>-2.4692164422977108</v>
      </c>
      <c r="I341" s="304">
        <f t="shared" ca="1" si="158"/>
        <v>23.040516610686069</v>
      </c>
      <c r="J341" s="306">
        <f t="shared" ca="1" si="159"/>
        <v>428.79589603383602</v>
      </c>
      <c r="K341" s="307">
        <f t="shared" ca="1" si="160"/>
        <v>1311.6890063195806</v>
      </c>
      <c r="L341" s="304">
        <f t="shared" ca="1" si="145"/>
        <v>1379.9978151269331</v>
      </c>
      <c r="M341" s="306">
        <f t="shared" ca="1" si="161"/>
        <v>-0.10737465672992599</v>
      </c>
      <c r="N341" s="304">
        <f t="shared" ca="1" si="162"/>
        <v>-6.152114657290741</v>
      </c>
      <c r="P341" s="310">
        <f t="shared" ca="1" si="163"/>
        <v>23</v>
      </c>
      <c r="Q341" s="304">
        <f t="shared" ca="1" si="164"/>
        <v>0</v>
      </c>
      <c r="R341" s="306">
        <f t="shared" ca="1" si="165"/>
        <v>0</v>
      </c>
      <c r="S341" s="307">
        <f t="shared" ca="1" si="166"/>
        <v>7.9769999999999968</v>
      </c>
      <c r="T341" s="304">
        <f t="shared" ca="1" si="146"/>
        <v>78.254369999999966</v>
      </c>
      <c r="U341" s="311">
        <f t="shared" ca="1" si="147"/>
        <v>0</v>
      </c>
      <c r="V341" s="306">
        <f t="shared" ca="1" si="148"/>
        <v>1.0742077251817053</v>
      </c>
      <c r="W341" s="304">
        <f t="shared" ca="1" si="149"/>
        <v>1.8836765402607238</v>
      </c>
      <c r="Y341" s="314" t="str">
        <f t="shared" ca="1" si="167"/>
        <v/>
      </c>
      <c r="Z341" s="315" t="str">
        <f t="shared" ca="1" si="168"/>
        <v/>
      </c>
      <c r="AA341" s="316" t="str">
        <f t="shared" ca="1" si="169"/>
        <v/>
      </c>
      <c r="AC341" s="310" t="e">
        <f t="shared" ca="1" si="170"/>
        <v>#N/A</v>
      </c>
      <c r="AD341" s="323" t="e">
        <f t="shared" ca="1" si="171"/>
        <v>#N/A</v>
      </c>
      <c r="AE341" s="324" t="e">
        <f t="shared" ca="1" si="150"/>
        <v>#N/A</v>
      </c>
      <c r="AG341" s="306">
        <f t="shared" ca="1" si="172"/>
        <v>0.40108330492561001</v>
      </c>
      <c r="AH341" s="304">
        <f t="shared" ca="1" si="173"/>
        <v>-0.23488685018894523</v>
      </c>
    </row>
    <row r="342" spans="1:34" x14ac:dyDescent="0.2">
      <c r="A342" s="347">
        <f t="shared" ca="1" si="151"/>
        <v>0.1</v>
      </c>
      <c r="B342" s="304">
        <f t="shared" ca="1" si="152"/>
        <v>15.799999999999962</v>
      </c>
      <c r="D342" s="306">
        <f t="shared" ca="1" si="153"/>
        <v>-0.2347785153807771</v>
      </c>
      <c r="E342" s="307">
        <f t="shared" ca="1" si="154"/>
        <v>-9.7846934067571851</v>
      </c>
      <c r="F342" s="304">
        <f t="shared" ca="1" si="155"/>
        <v>9.7875096942747355</v>
      </c>
      <c r="G342" s="306">
        <f t="shared" ca="1" si="156"/>
        <v>22.884345612256713</v>
      </c>
      <c r="H342" s="307">
        <f t="shared" ca="1" si="157"/>
        <v>-3.4476857829734291</v>
      </c>
      <c r="I342" s="304">
        <f t="shared" ca="1" si="158"/>
        <v>23.14259733390637</v>
      </c>
      <c r="J342" s="306">
        <f t="shared" ca="1" si="159"/>
        <v>431.08550448763862</v>
      </c>
      <c r="K342" s="307">
        <f t="shared" ca="1" si="160"/>
        <v>1311.393161208317</v>
      </c>
      <c r="L342" s="304">
        <f t="shared" ca="1" si="145"/>
        <v>1380.4299096452905</v>
      </c>
      <c r="M342" s="306">
        <f t="shared" ca="1" si="161"/>
        <v>-0.14953238249800146</v>
      </c>
      <c r="N342" s="304">
        <f t="shared" ca="1" si="162"/>
        <v>-8.5675744176713824</v>
      </c>
      <c r="P342" s="310">
        <f t="shared" ca="1" si="163"/>
        <v>23</v>
      </c>
      <c r="Q342" s="304">
        <f t="shared" ca="1" si="164"/>
        <v>0</v>
      </c>
      <c r="R342" s="306">
        <f t="shared" ca="1" si="165"/>
        <v>0</v>
      </c>
      <c r="S342" s="307">
        <f t="shared" ca="1" si="166"/>
        <v>7.9769999999999968</v>
      </c>
      <c r="T342" s="304">
        <f t="shared" ca="1" si="146"/>
        <v>78.254369999999966</v>
      </c>
      <c r="U342" s="311">
        <f t="shared" ca="1" si="147"/>
        <v>0</v>
      </c>
      <c r="V342" s="306">
        <f t="shared" ca="1" si="148"/>
        <v>1.0742396428212573</v>
      </c>
      <c r="W342" s="304">
        <f t="shared" ca="1" si="149"/>
        <v>1.9004611926881811</v>
      </c>
      <c r="Y342" s="314" t="str">
        <f t="shared" ca="1" si="167"/>
        <v/>
      </c>
      <c r="Z342" s="315" t="str">
        <f t="shared" ca="1" si="168"/>
        <v/>
      </c>
      <c r="AA342" s="316" t="str">
        <f t="shared" ca="1" si="169"/>
        <v/>
      </c>
      <c r="AC342" s="310" t="e">
        <f t="shared" ca="1" si="170"/>
        <v>#N/A</v>
      </c>
      <c r="AD342" s="323" t="e">
        <f t="shared" ca="1" si="171"/>
        <v>#N/A</v>
      </c>
      <c r="AE342" s="324" t="e">
        <f t="shared" ca="1" si="150"/>
        <v>#N/A</v>
      </c>
      <c r="AG342" s="306">
        <f t="shared" ca="1" si="172"/>
        <v>0.81518402459175143</v>
      </c>
      <c r="AH342" s="304">
        <f t="shared" ca="1" si="173"/>
        <v>-0.23613846562125168</v>
      </c>
    </row>
    <row r="343" spans="1:34" x14ac:dyDescent="0.2">
      <c r="A343" s="347">
        <f t="shared" ca="1" si="151"/>
        <v>0.1</v>
      </c>
      <c r="B343" s="304">
        <f t="shared" ca="1" si="152"/>
        <v>15.899999999999961</v>
      </c>
      <c r="D343" s="306">
        <f t="shared" ca="1" si="153"/>
        <v>-0.23558401161174666</v>
      </c>
      <c r="E343" s="307">
        <f t="shared" ca="1" si="154"/>
        <v>-9.7745076306182579</v>
      </c>
      <c r="F343" s="304">
        <f t="shared" ca="1" si="155"/>
        <v>9.7773462272511154</v>
      </c>
      <c r="G343" s="306">
        <f t="shared" ca="1" si="156"/>
        <v>22.860787211095538</v>
      </c>
      <c r="H343" s="307">
        <f t="shared" ca="1" si="157"/>
        <v>-4.4251365460352545</v>
      </c>
      <c r="I343" s="304">
        <f t="shared" ca="1" si="158"/>
        <v>23.285133140311785</v>
      </c>
      <c r="J343" s="306">
        <f t="shared" ca="1" si="159"/>
        <v>433.37276112880625</v>
      </c>
      <c r="K343" s="307">
        <f t="shared" ca="1" si="160"/>
        <v>1310.9995200918665</v>
      </c>
      <c r="L343" s="304">
        <f t="shared" ca="1" si="145"/>
        <v>1380.7721360780386</v>
      </c>
      <c r="M343" s="306">
        <f t="shared" ca="1" si="161"/>
        <v>-0.19120419431600971</v>
      </c>
      <c r="N343" s="304">
        <f t="shared" ca="1" si="162"/>
        <v>-10.955193359506641</v>
      </c>
      <c r="P343" s="310">
        <f t="shared" ca="1" si="163"/>
        <v>23</v>
      </c>
      <c r="Q343" s="304">
        <f t="shared" ca="1" si="164"/>
        <v>0</v>
      </c>
      <c r="R343" s="306">
        <f t="shared" ca="1" si="165"/>
        <v>0</v>
      </c>
      <c r="S343" s="307">
        <f t="shared" ca="1" si="166"/>
        <v>7.9769999999999968</v>
      </c>
      <c r="T343" s="304">
        <f t="shared" ca="1" si="146"/>
        <v>78.254369999999966</v>
      </c>
      <c r="U343" s="311">
        <f t="shared" ca="1" si="147"/>
        <v>0</v>
      </c>
      <c r="V343" s="306">
        <f t="shared" ca="1" si="148"/>
        <v>1.0742821126856641</v>
      </c>
      <c r="W343" s="304">
        <f t="shared" ca="1" si="149"/>
        <v>1.9240193179198501</v>
      </c>
      <c r="Y343" s="314" t="str">
        <f t="shared" ca="1" si="167"/>
        <v/>
      </c>
      <c r="Z343" s="315" t="str">
        <f t="shared" ca="1" si="168"/>
        <v/>
      </c>
      <c r="AA343" s="316" t="str">
        <f t="shared" ca="1" si="169"/>
        <v/>
      </c>
      <c r="AC343" s="310" t="e">
        <f t="shared" ca="1" si="170"/>
        <v>#N/A</v>
      </c>
      <c r="AD343" s="323" t="e">
        <f t="shared" ca="1" si="171"/>
        <v>#N/A</v>
      </c>
      <c r="AE343" s="324" t="e">
        <f t="shared" ca="1" si="150"/>
        <v>#N/A</v>
      </c>
      <c r="AG343" s="306">
        <f t="shared" ca="1" si="172"/>
        <v>1.2232095059497992</v>
      </c>
      <c r="AH343" s="304">
        <f t="shared" ca="1" si="173"/>
        <v>-0.23824259655110716</v>
      </c>
    </row>
    <row r="344" spans="1:34" x14ac:dyDescent="0.2">
      <c r="A344" s="347">
        <f t="shared" ca="1" si="151"/>
        <v>0.1</v>
      </c>
      <c r="B344" s="304">
        <f t="shared" ca="1" si="152"/>
        <v>15.999999999999961</v>
      </c>
      <c r="D344" s="306">
        <f t="shared" ca="1" si="153"/>
        <v>-0.23680032380396485</v>
      </c>
      <c r="E344" s="307">
        <f t="shared" ca="1" si="154"/>
        <v>-9.7641628309951933</v>
      </c>
      <c r="F344" s="304">
        <f t="shared" ca="1" si="155"/>
        <v>9.7670338477729128</v>
      </c>
      <c r="G344" s="306">
        <f t="shared" ca="1" si="156"/>
        <v>22.83710717871514</v>
      </c>
      <c r="H344" s="307">
        <f t="shared" ca="1" si="157"/>
        <v>-5.4015528291347739</v>
      </c>
      <c r="I344" s="304">
        <f t="shared" ca="1" si="158"/>
        <v>23.467216223021779</v>
      </c>
      <c r="J344" s="306">
        <f t="shared" ca="1" si="159"/>
        <v>435.65765584829677</v>
      </c>
      <c r="K344" s="307">
        <f t="shared" ca="1" si="160"/>
        <v>1310.5081856231081</v>
      </c>
      <c r="L344" s="304">
        <f t="shared" ca="1" si="145"/>
        <v>1381.0247273978855</v>
      </c>
      <c r="M344" s="306">
        <f t="shared" ca="1" si="161"/>
        <v>-0.23225690920145609</v>
      </c>
      <c r="N344" s="304">
        <f t="shared" ca="1" si="162"/>
        <v>-13.307340659996608</v>
      </c>
      <c r="P344" s="310">
        <f t="shared" ca="1" si="163"/>
        <v>23</v>
      </c>
      <c r="Q344" s="304">
        <f t="shared" ca="1" si="164"/>
        <v>0</v>
      </c>
      <c r="R344" s="306">
        <f t="shared" ca="1" si="165"/>
        <v>0</v>
      </c>
      <c r="S344" s="307">
        <f t="shared" ca="1" si="166"/>
        <v>7.9769999999999968</v>
      </c>
      <c r="T344" s="304">
        <f t="shared" ca="1" si="146"/>
        <v>78.254369999999966</v>
      </c>
      <c r="U344" s="311">
        <f t="shared" ca="1" si="147"/>
        <v>0</v>
      </c>
      <c r="V344" s="306">
        <f t="shared" ca="1" si="148"/>
        <v>1.0743351248684578</v>
      </c>
      <c r="W344" s="304">
        <f t="shared" ca="1" si="149"/>
        <v>1.9543239639973113</v>
      </c>
      <c r="Y344" s="314" t="str">
        <f t="shared" ca="1" si="167"/>
        <v/>
      </c>
      <c r="Z344" s="315" t="str">
        <f t="shared" ca="1" si="168"/>
        <v/>
      </c>
      <c r="AA344" s="316" t="str">
        <f t="shared" ca="1" si="169"/>
        <v/>
      </c>
      <c r="AC344" s="310">
        <f t="shared" ca="1" si="170"/>
        <v>15.999999999999961</v>
      </c>
      <c r="AD344" s="323">
        <f t="shared" ca="1" si="171"/>
        <v>435.65765584829677</v>
      </c>
      <c r="AE344" s="324" t="e">
        <f t="shared" ca="1" si="150"/>
        <v>#N/A</v>
      </c>
      <c r="AG344" s="306">
        <f t="shared" ca="1" si="172"/>
        <v>1.623109120447523</v>
      </c>
      <c r="AH344" s="304">
        <f t="shared" ca="1" si="173"/>
        <v>-0.24119585281682976</v>
      </c>
    </row>
    <row r="345" spans="1:34" x14ac:dyDescent="0.2">
      <c r="A345" s="347">
        <f t="shared" ca="1" si="151"/>
        <v>0.1</v>
      </c>
      <c r="B345" s="304">
        <f t="shared" ca="1" si="152"/>
        <v>16.099999999999962</v>
      </c>
      <c r="D345" s="306">
        <f t="shared" ca="1" si="153"/>
        <v>-0.23841659466155429</v>
      </c>
      <c r="E345" s="307">
        <f t="shared" ca="1" si="154"/>
        <v>-9.7536084517479047</v>
      </c>
      <c r="F345" s="304">
        <f t="shared" ca="1" si="155"/>
        <v>9.7565219367671272</v>
      </c>
      <c r="G345" s="306">
        <f t="shared" ca="1" si="156"/>
        <v>22.813265519248986</v>
      </c>
      <c r="H345" s="307">
        <f t="shared" ca="1" si="157"/>
        <v>-6.3769136743095647</v>
      </c>
      <c r="I345" s="304">
        <f t="shared" ca="1" si="158"/>
        <v>23.687762909598515</v>
      </c>
      <c r="J345" s="306">
        <f t="shared" ca="1" si="159"/>
        <v>437.94017448319499</v>
      </c>
      <c r="K345" s="307">
        <f t="shared" ca="1" si="160"/>
        <v>1309.919262297936</v>
      </c>
      <c r="L345" s="304">
        <f t="shared" ca="1" si="145"/>
        <v>1381.1879199318028</v>
      </c>
      <c r="M345" s="306">
        <f t="shared" ca="1" si="161"/>
        <v>-0.27256963005086382</v>
      </c>
      <c r="N345" s="304">
        <f t="shared" ca="1" si="162"/>
        <v>-15.617089425356712</v>
      </c>
      <c r="P345" s="310">
        <f t="shared" ca="1" si="163"/>
        <v>23</v>
      </c>
      <c r="Q345" s="304">
        <f t="shared" ca="1" si="164"/>
        <v>0</v>
      </c>
      <c r="R345" s="306">
        <f t="shared" ca="1" si="165"/>
        <v>0</v>
      </c>
      <c r="S345" s="307">
        <f t="shared" ca="1" si="166"/>
        <v>7.9769999999999968</v>
      </c>
      <c r="T345" s="304">
        <f t="shared" ca="1" si="146"/>
        <v>78.254369999999966</v>
      </c>
      <c r="U345" s="311">
        <f t="shared" ca="1" si="147"/>
        <v>0</v>
      </c>
      <c r="V345" s="306">
        <f t="shared" ca="1" si="148"/>
        <v>1.0743986695525438</v>
      </c>
      <c r="W345" s="304">
        <f t="shared" ca="1" si="149"/>
        <v>1.9913481256317092</v>
      </c>
      <c r="Y345" s="314" t="str">
        <f t="shared" ca="1" si="167"/>
        <v/>
      </c>
      <c r="Z345" s="315" t="str">
        <f t="shared" ca="1" si="168"/>
        <v/>
      </c>
      <c r="AA345" s="316" t="str">
        <f t="shared" ca="1" si="169"/>
        <v/>
      </c>
      <c r="AC345" s="310" t="e">
        <f t="shared" ca="1" si="170"/>
        <v>#N/A</v>
      </c>
      <c r="AD345" s="323" t="e">
        <f t="shared" ca="1" si="171"/>
        <v>#N/A</v>
      </c>
      <c r="AE345" s="324" t="e">
        <f t="shared" ca="1" si="150"/>
        <v>#N/A</v>
      </c>
      <c r="AG345" s="306">
        <f t="shared" ca="1" si="172"/>
        <v>2.0130161819107593</v>
      </c>
      <c r="AH345" s="304">
        <f t="shared" ca="1" si="173"/>
        <v>-0.24499485570982979</v>
      </c>
    </row>
    <row r="346" spans="1:34" x14ac:dyDescent="0.2">
      <c r="A346" s="347">
        <f t="shared" ca="1" si="151"/>
        <v>0.1</v>
      </c>
      <c r="B346" s="304">
        <f t="shared" ca="1" si="152"/>
        <v>16.199999999999964</v>
      </c>
      <c r="D346" s="306">
        <f t="shared" ca="1" si="153"/>
        <v>-0.24042022828725731</v>
      </c>
      <c r="E346" s="307">
        <f t="shared" ca="1" si="154"/>
        <v>-9.7427961601967059</v>
      </c>
      <c r="F346" s="304">
        <f t="shared" ca="1" si="155"/>
        <v>9.7457620997700012</v>
      </c>
      <c r="G346" s="306">
        <f t="shared" ca="1" si="156"/>
        <v>22.789223496420259</v>
      </c>
      <c r="H346" s="307">
        <f t="shared" ca="1" si="157"/>
        <v>-7.3511932903292356</v>
      </c>
      <c r="I346" s="304">
        <f t="shared" ca="1" si="158"/>
        <v>23.945537170035983</v>
      </c>
      <c r="J346" s="306">
        <f t="shared" ca="1" si="159"/>
        <v>440.22029893397848</v>
      </c>
      <c r="K346" s="307">
        <f t="shared" ca="1" si="160"/>
        <v>1309.232856949704</v>
      </c>
      <c r="L346" s="304">
        <f t="shared" ca="1" si="145"/>
        <v>1381.2619539067184</v>
      </c>
      <c r="M346" s="306">
        <f t="shared" ca="1" si="161"/>
        <v>-0.31203539962303167</v>
      </c>
      <c r="N346" s="304">
        <f t="shared" ca="1" si="162"/>
        <v>-17.878311457077753</v>
      </c>
      <c r="P346" s="310">
        <f t="shared" ca="1" si="163"/>
        <v>23</v>
      </c>
      <c r="Q346" s="304">
        <f t="shared" ca="1" si="164"/>
        <v>0</v>
      </c>
      <c r="R346" s="306">
        <f t="shared" ca="1" si="165"/>
        <v>0</v>
      </c>
      <c r="S346" s="307">
        <f t="shared" ca="1" si="166"/>
        <v>7.9769999999999968</v>
      </c>
      <c r="T346" s="304">
        <f t="shared" ca="1" si="146"/>
        <v>78.254369999999966</v>
      </c>
      <c r="U346" s="311">
        <f t="shared" ca="1" si="147"/>
        <v>0</v>
      </c>
      <c r="V346" s="306">
        <f t="shared" ca="1" si="148"/>
        <v>1.074472736955866</v>
      </c>
      <c r="W346" s="304">
        <f t="shared" ca="1" si="149"/>
        <v>2.0350646061309923</v>
      </c>
      <c r="Y346" s="314" t="str">
        <f t="shared" ca="1" si="167"/>
        <v/>
      </c>
      <c r="Z346" s="315" t="str">
        <f t="shared" ca="1" si="168"/>
        <v/>
      </c>
      <c r="AA346" s="316" t="str">
        <f t="shared" ca="1" si="169"/>
        <v/>
      </c>
      <c r="AC346" s="310" t="e">
        <f t="shared" ca="1" si="170"/>
        <v>#N/A</v>
      </c>
      <c r="AD346" s="323" t="e">
        <f t="shared" ca="1" si="171"/>
        <v>#N/A</v>
      </c>
      <c r="AE346" s="324" t="e">
        <f t="shared" ca="1" si="150"/>
        <v>#N/A</v>
      </c>
      <c r="AG346" s="306">
        <f t="shared" ca="1" si="172"/>
        <v>2.3912853135194392</v>
      </c>
      <c r="AH346" s="304">
        <f t="shared" ca="1" si="173"/>
        <v>-0.24963621983599221</v>
      </c>
    </row>
    <row r="347" spans="1:34" x14ac:dyDescent="0.2">
      <c r="A347" s="347">
        <f t="shared" ca="1" si="151"/>
        <v>0.1</v>
      </c>
      <c r="B347" s="304">
        <f t="shared" ca="1" si="152"/>
        <v>16.299999999999965</v>
      </c>
      <c r="D347" s="306">
        <f t="shared" ca="1" si="153"/>
        <v>-0.24279713212737078</v>
      </c>
      <c r="E347" s="307">
        <f t="shared" ca="1" si="154"/>
        <v>-9.7316801463689071</v>
      </c>
      <c r="F347" s="304">
        <f t="shared" ca="1" si="155"/>
        <v>9.7347084660301988</v>
      </c>
      <c r="G347" s="306">
        <f t="shared" ca="1" si="156"/>
        <v>22.764943783207521</v>
      </c>
      <c r="H347" s="307">
        <f t="shared" ca="1" si="157"/>
        <v>-8.3243613049661267</v>
      </c>
      <c r="I347" s="304">
        <f t="shared" ca="1" si="158"/>
        <v>24.239176070737557</v>
      </c>
      <c r="J347" s="306">
        <f t="shared" ca="1" si="159"/>
        <v>442.49800729795987</v>
      </c>
      <c r="K347" s="307">
        <f t="shared" ca="1" si="160"/>
        <v>1308.4490792199392</v>
      </c>
      <c r="L347" s="304">
        <f t="shared" ca="1" si="145"/>
        <v>1381.2470739785015</v>
      </c>
      <c r="M347" s="306">
        <f t="shared" ca="1" si="161"/>
        <v>-0.35056225312022166</v>
      </c>
      <c r="N347" s="304">
        <f t="shared" ca="1" si="162"/>
        <v>-20.085737560385574</v>
      </c>
      <c r="P347" s="310">
        <f t="shared" ca="1" si="163"/>
        <v>23</v>
      </c>
      <c r="Q347" s="304">
        <f t="shared" ca="1" si="164"/>
        <v>0</v>
      </c>
      <c r="R347" s="306">
        <f t="shared" ca="1" si="165"/>
        <v>0</v>
      </c>
      <c r="S347" s="307">
        <f t="shared" ca="1" si="166"/>
        <v>7.9769999999999968</v>
      </c>
      <c r="T347" s="304">
        <f t="shared" ca="1" si="146"/>
        <v>78.254369999999966</v>
      </c>
      <c r="U347" s="311">
        <f t="shared" ca="1" si="147"/>
        <v>0</v>
      </c>
      <c r="V347" s="306">
        <f t="shared" ca="1" si="148"/>
        <v>1.0745573172796017</v>
      </c>
      <c r="W347" s="304">
        <f t="shared" ca="1" si="149"/>
        <v>2.0854458867973351</v>
      </c>
      <c r="Y347" s="314" t="str">
        <f t="shared" ca="1" si="167"/>
        <v/>
      </c>
      <c r="Z347" s="315" t="str">
        <f t="shared" ca="1" si="168"/>
        <v/>
      </c>
      <c r="AA347" s="316" t="str">
        <f t="shared" ca="1" si="169"/>
        <v/>
      </c>
      <c r="AC347" s="310" t="e">
        <f t="shared" ca="1" si="170"/>
        <v>#N/A</v>
      </c>
      <c r="AD347" s="323" t="e">
        <f t="shared" ca="1" si="171"/>
        <v>#N/A</v>
      </c>
      <c r="AE347" s="324" t="e">
        <f t="shared" ca="1" si="150"/>
        <v>#N/A</v>
      </c>
      <c r="AG347" s="306">
        <f t="shared" ca="1" si="172"/>
        <v>2.7565179773821558</v>
      </c>
      <c r="AH347" s="304">
        <f t="shared" ca="1" si="173"/>
        <v>-0.25511653580681876</v>
      </c>
    </row>
    <row r="348" spans="1:34" x14ac:dyDescent="0.2">
      <c r="A348" s="347">
        <f t="shared" ca="1" si="151"/>
        <v>0.1</v>
      </c>
      <c r="B348" s="304">
        <f t="shared" ca="1" si="152"/>
        <v>16.399999999999967</v>
      </c>
      <c r="D348" s="306">
        <f t="shared" ca="1" si="153"/>
        <v>-0.24553197771765545</v>
      </c>
      <c r="E348" s="307">
        <f t="shared" ca="1" si="154"/>
        <v>-9.7202173537563343</v>
      </c>
      <c r="F348" s="304">
        <f t="shared" ca="1" si="155"/>
        <v>9.7233179191234775</v>
      </c>
      <c r="G348" s="306">
        <f t="shared" ca="1" si="156"/>
        <v>22.740390585435755</v>
      </c>
      <c r="H348" s="307">
        <f t="shared" ca="1" si="157"/>
        <v>-9.2963830403417607</v>
      </c>
      <c r="I348" s="304">
        <f t="shared" ca="1" si="158"/>
        <v>24.567215992271674</v>
      </c>
      <c r="J348" s="306">
        <f t="shared" ca="1" si="159"/>
        <v>444.77327401639207</v>
      </c>
      <c r="K348" s="307">
        <f t="shared" ca="1" si="160"/>
        <v>1307.5680420026738</v>
      </c>
      <c r="L348" s="304">
        <f t="shared" ca="1" si="145"/>
        <v>1381.1435297411947</v>
      </c>
      <c r="M348" s="306">
        <f t="shared" ca="1" si="161"/>
        <v>-0.38807368538116227</v>
      </c>
      <c r="N348" s="304">
        <f t="shared" ca="1" si="162"/>
        <v>-22.234984312428352</v>
      </c>
      <c r="P348" s="310">
        <f t="shared" ca="1" si="163"/>
        <v>23</v>
      </c>
      <c r="Q348" s="304">
        <f t="shared" ca="1" si="164"/>
        <v>0</v>
      </c>
      <c r="R348" s="306">
        <f t="shared" ca="1" si="165"/>
        <v>0</v>
      </c>
      <c r="S348" s="307">
        <f t="shared" ca="1" si="166"/>
        <v>7.9769999999999968</v>
      </c>
      <c r="T348" s="304">
        <f t="shared" ca="1" si="146"/>
        <v>78.254369999999966</v>
      </c>
      <c r="U348" s="311">
        <f t="shared" ca="1" si="147"/>
        <v>0</v>
      </c>
      <c r="V348" s="306">
        <f t="shared" ca="1" si="148"/>
        <v>1.0746524006591676</v>
      </c>
      <c r="W348" s="304">
        <f t="shared" ca="1" si="149"/>
        <v>2.1424640044629264</v>
      </c>
      <c r="Y348" s="314" t="str">
        <f t="shared" ca="1" si="167"/>
        <v/>
      </c>
      <c r="Z348" s="315" t="str">
        <f t="shared" ca="1" si="168"/>
        <v/>
      </c>
      <c r="AA348" s="316" t="str">
        <f t="shared" ca="1" si="169"/>
        <v/>
      </c>
      <c r="AC348" s="310" t="e">
        <f t="shared" ca="1" si="170"/>
        <v>#N/A</v>
      </c>
      <c r="AD348" s="323" t="e">
        <f t="shared" ca="1" si="171"/>
        <v>#N/A</v>
      </c>
      <c r="AE348" s="324" t="e">
        <f t="shared" ca="1" si="150"/>
        <v>#N/A</v>
      </c>
      <c r="AG348" s="306">
        <f t="shared" ca="1" si="172"/>
        <v>3.1075759062900885</v>
      </c>
      <c r="AH348" s="304">
        <f t="shared" ca="1" si="173"/>
        <v>-0.26143235386703473</v>
      </c>
    </row>
    <row r="349" spans="1:34" x14ac:dyDescent="0.2">
      <c r="A349" s="347">
        <f t="shared" ca="1" si="151"/>
        <v>0.1</v>
      </c>
      <c r="B349" s="304">
        <f t="shared" ca="1" si="152"/>
        <v>16.499999999999968</v>
      </c>
      <c r="D349" s="306">
        <f t="shared" ca="1" si="153"/>
        <v>-0.24860846821545618</v>
      </c>
      <c r="E349" s="307">
        <f t="shared" ca="1" si="154"/>
        <v>-9.7083676406559309</v>
      </c>
      <c r="F349" s="304">
        <f t="shared" ca="1" si="155"/>
        <v>9.7115502581515596</v>
      </c>
      <c r="G349" s="306">
        <f t="shared" ca="1" si="156"/>
        <v>22.715529738614208</v>
      </c>
      <c r="H349" s="307">
        <f t="shared" ca="1" si="157"/>
        <v>-10.267219804407354</v>
      </c>
      <c r="I349" s="304">
        <f t="shared" ca="1" si="158"/>
        <v>24.928118537464496</v>
      </c>
      <c r="J349" s="306">
        <f t="shared" ca="1" si="159"/>
        <v>447.04607003259457</v>
      </c>
      <c r="K349" s="307">
        <f t="shared" ca="1" si="160"/>
        <v>1306.5898618604363</v>
      </c>
      <c r="L349" s="304">
        <f t="shared" ca="1" si="145"/>
        <v>1380.9515762140472</v>
      </c>
      <c r="M349" s="306">
        <f t="shared" ca="1" si="161"/>
        <v>-0.42450858471535996</v>
      </c>
      <c r="N349" s="304">
        <f t="shared" ca="1" si="162"/>
        <v>-24.322550271261893</v>
      </c>
      <c r="P349" s="310">
        <f t="shared" ca="1" si="163"/>
        <v>23</v>
      </c>
      <c r="Q349" s="304">
        <f t="shared" ca="1" si="164"/>
        <v>0</v>
      </c>
      <c r="R349" s="306">
        <f t="shared" ca="1" si="165"/>
        <v>0</v>
      </c>
      <c r="S349" s="307">
        <f t="shared" ca="1" si="166"/>
        <v>7.9769999999999968</v>
      </c>
      <c r="T349" s="304">
        <f t="shared" ca="1" si="146"/>
        <v>78.254369999999966</v>
      </c>
      <c r="U349" s="311">
        <f t="shared" ca="1" si="147"/>
        <v>0</v>
      </c>
      <c r="V349" s="306">
        <f t="shared" ca="1" si="148"/>
        <v>1.0747579771182327</v>
      </c>
      <c r="W349" s="304">
        <f t="shared" ca="1" si="149"/>
        <v>2.2060904376425925</v>
      </c>
      <c r="Y349" s="314" t="str">
        <f t="shared" ca="1" si="167"/>
        <v/>
      </c>
      <c r="Z349" s="315" t="str">
        <f t="shared" ca="1" si="168"/>
        <v/>
      </c>
      <c r="AA349" s="316" t="str">
        <f t="shared" ca="1" si="169"/>
        <v/>
      </c>
      <c r="AC349" s="310" t="e">
        <f t="shared" ca="1" si="170"/>
        <v>#N/A</v>
      </c>
      <c r="AD349" s="323" t="e">
        <f t="shared" ca="1" si="171"/>
        <v>#N/A</v>
      </c>
      <c r="AE349" s="324" t="e">
        <f t="shared" ca="1" si="150"/>
        <v>#N/A</v>
      </c>
      <c r="AG349" s="306">
        <f t="shared" ca="1" si="172"/>
        <v>3.4435831329257374</v>
      </c>
      <c r="AH349" s="304">
        <f t="shared" ca="1" si="173"/>
        <v>-0.26858016854242539</v>
      </c>
    </row>
    <row r="350" spans="1:34" x14ac:dyDescent="0.2">
      <c r="A350" s="347">
        <f t="shared" ca="1" si="151"/>
        <v>0.1</v>
      </c>
      <c r="B350" s="304">
        <f t="shared" ca="1" si="152"/>
        <v>16.599999999999969</v>
      </c>
      <c r="D350" s="306">
        <f t="shared" ca="1" si="153"/>
        <v>-0.25200960186310983</v>
      </c>
      <c r="E350" s="307">
        <f t="shared" ca="1" si="154"/>
        <v>-9.6960938747665946</v>
      </c>
      <c r="F350" s="304">
        <f t="shared" ca="1" si="155"/>
        <v>9.6993682921991091</v>
      </c>
      <c r="G350" s="306">
        <f t="shared" ca="1" si="156"/>
        <v>22.690328778427897</v>
      </c>
      <c r="H350" s="307">
        <f t="shared" ca="1" si="157"/>
        <v>-11.236829191884013</v>
      </c>
      <c r="I350" s="304">
        <f t="shared" ca="1" si="158"/>
        <v>25.320295226571311</v>
      </c>
      <c r="J350" s="306">
        <f t="shared" ca="1" si="159"/>
        <v>449.31636295844669</v>
      </c>
      <c r="K350" s="307">
        <f t="shared" ca="1" si="160"/>
        <v>1305.5146594106218</v>
      </c>
      <c r="L350" s="304">
        <f t="shared" ca="1" si="145"/>
        <v>1380.6714743045277</v>
      </c>
      <c r="M350" s="306">
        <f t="shared" ca="1" si="161"/>
        <v>-0.45982071117510204</v>
      </c>
      <c r="N350" s="304">
        <f t="shared" ca="1" si="162"/>
        <v>-26.345786083037357</v>
      </c>
      <c r="P350" s="310">
        <f t="shared" ca="1" si="163"/>
        <v>23</v>
      </c>
      <c r="Q350" s="304">
        <f t="shared" ca="1" si="164"/>
        <v>0</v>
      </c>
      <c r="R350" s="306">
        <f t="shared" ca="1" si="165"/>
        <v>0</v>
      </c>
      <c r="S350" s="307">
        <f t="shared" ca="1" si="166"/>
        <v>7.9769999999999968</v>
      </c>
      <c r="T350" s="304">
        <f t="shared" ca="1" si="146"/>
        <v>78.254369999999966</v>
      </c>
      <c r="U350" s="311">
        <f t="shared" ca="1" si="147"/>
        <v>0</v>
      </c>
      <c r="V350" s="306">
        <f t="shared" ca="1" si="148"/>
        <v>1.0748740365258793</v>
      </c>
      <c r="W350" s="304">
        <f t="shared" ca="1" si="149"/>
        <v>2.2762960015958655</v>
      </c>
      <c r="Y350" s="314" t="str">
        <f t="shared" ca="1" si="167"/>
        <v/>
      </c>
      <c r="Z350" s="315" t="str">
        <f t="shared" ca="1" si="168"/>
        <v/>
      </c>
      <c r="AA350" s="316" t="str">
        <f t="shared" ca="1" si="169"/>
        <v/>
      </c>
      <c r="AC350" s="310" t="e">
        <f t="shared" ca="1" si="170"/>
        <v>#N/A</v>
      </c>
      <c r="AD350" s="323" t="e">
        <f t="shared" ca="1" si="171"/>
        <v>#N/A</v>
      </c>
      <c r="AE350" s="324" t="e">
        <f t="shared" ca="1" si="150"/>
        <v>#N/A</v>
      </c>
      <c r="AG350" s="306">
        <f t="shared" ca="1" si="172"/>
        <v>3.7639180554218452</v>
      </c>
      <c r="AH350" s="304">
        <f t="shared" ca="1" si="173"/>
        <v>-0.27655640436788181</v>
      </c>
    </row>
    <row r="351" spans="1:34" x14ac:dyDescent="0.2">
      <c r="A351" s="347">
        <f t="shared" ca="1" si="151"/>
        <v>0.1</v>
      </c>
      <c r="B351" s="304">
        <f t="shared" ca="1" si="152"/>
        <v>16.699999999999971</v>
      </c>
      <c r="D351" s="306">
        <f t="shared" ca="1" si="153"/>
        <v>-0.25571792229974732</v>
      </c>
      <c r="E351" s="307">
        <f t="shared" ca="1" si="154"/>
        <v>-9.6833619665785733</v>
      </c>
      <c r="F351" s="304">
        <f t="shared" ca="1" si="155"/>
        <v>9.6867378735860168</v>
      </c>
      <c r="G351" s="306">
        <f t="shared" ca="1" si="156"/>
        <v>22.664756986197922</v>
      </c>
      <c r="H351" s="307">
        <f t="shared" ca="1" si="157"/>
        <v>-12.20516538854187</v>
      </c>
      <c r="I351" s="304">
        <f t="shared" ca="1" si="158"/>
        <v>25.742130281021186</v>
      </c>
      <c r="J351" s="306">
        <f t="shared" ca="1" si="159"/>
        <v>451.58411724667798</v>
      </c>
      <c r="K351" s="307">
        <f t="shared" ca="1" si="160"/>
        <v>1304.3425596816005</v>
      </c>
      <c r="L351" s="304">
        <f t="shared" ca="1" si="145"/>
        <v>1380.3034912461139</v>
      </c>
      <c r="M351" s="306">
        <f t="shared" ca="1" si="161"/>
        <v>-0.49397781182789452</v>
      </c>
      <c r="N351" s="304">
        <f t="shared" ca="1" si="162"/>
        <v>-28.302843790845913</v>
      </c>
      <c r="P351" s="310">
        <f t="shared" ca="1" si="163"/>
        <v>23</v>
      </c>
      <c r="Q351" s="304">
        <f t="shared" ca="1" si="164"/>
        <v>0</v>
      </c>
      <c r="R351" s="306">
        <f t="shared" ca="1" si="165"/>
        <v>0</v>
      </c>
      <c r="S351" s="307">
        <f t="shared" ca="1" si="166"/>
        <v>7.9769999999999968</v>
      </c>
      <c r="T351" s="304">
        <f t="shared" ca="1" si="146"/>
        <v>78.254369999999966</v>
      </c>
      <c r="U351" s="311">
        <f t="shared" ca="1" si="147"/>
        <v>0</v>
      </c>
      <c r="V351" s="306">
        <f t="shared" ca="1" si="148"/>
        <v>1.0750005685569637</v>
      </c>
      <c r="W351" s="304">
        <f t="shared" ca="1" si="149"/>
        <v>2.3530507524176043</v>
      </c>
      <c r="Y351" s="314" t="str">
        <f t="shared" ca="1" si="167"/>
        <v/>
      </c>
      <c r="Z351" s="315" t="str">
        <f t="shared" ca="1" si="168"/>
        <v/>
      </c>
      <c r="AA351" s="316" t="str">
        <f t="shared" ca="1" si="169"/>
        <v/>
      </c>
      <c r="AC351" s="310" t="e">
        <f t="shared" ca="1" si="170"/>
        <v>#N/A</v>
      </c>
      <c r="AD351" s="323" t="e">
        <f t="shared" ca="1" si="171"/>
        <v>#N/A</v>
      </c>
      <c r="AE351" s="324" t="e">
        <f t="shared" ca="1" si="150"/>
        <v>#N/A</v>
      </c>
      <c r="AG351" s="306">
        <f t="shared" ca="1" si="172"/>
        <v>4.0681974585357281</v>
      </c>
      <c r="AH351" s="304">
        <f t="shared" ca="1" si="173"/>
        <v>-0.28535740273233878</v>
      </c>
    </row>
    <row r="352" spans="1:34" x14ac:dyDescent="0.2">
      <c r="A352" s="347">
        <f t="shared" ca="1" si="151"/>
        <v>0.1</v>
      </c>
      <c r="B352" s="304">
        <f t="shared" ca="1" si="152"/>
        <v>16.799999999999972</v>
      </c>
      <c r="D352" s="306">
        <f t="shared" ca="1" si="153"/>
        <v>-0.25971574874814779</v>
      </c>
      <c r="E352" s="307">
        <f t="shared" ca="1" si="154"/>
        <v>-9.6701408490984271</v>
      </c>
      <c r="F352" s="304">
        <f t="shared" ca="1" si="155"/>
        <v>9.6736278774588929</v>
      </c>
      <c r="G352" s="306">
        <f t="shared" ca="1" si="156"/>
        <v>22.638785411323106</v>
      </c>
      <c r="H352" s="307">
        <f t="shared" ca="1" si="157"/>
        <v>-13.172179473451713</v>
      </c>
      <c r="I352" s="304">
        <f t="shared" ca="1" si="158"/>
        <v>26.19200101139198</v>
      </c>
      <c r="J352" s="306">
        <f t="shared" ca="1" si="159"/>
        <v>453.84929436655403</v>
      </c>
      <c r="K352" s="307">
        <f t="shared" ca="1" si="160"/>
        <v>1303.0736924385008</v>
      </c>
      <c r="L352" s="304">
        <f t="shared" ca="1" si="145"/>
        <v>1379.8479010102265</v>
      </c>
      <c r="M352" s="306">
        <f t="shared" ca="1" si="161"/>
        <v>-0.5269604701613938</v>
      </c>
      <c r="N352" s="304">
        <f t="shared" ca="1" si="162"/>
        <v>-30.192610910477416</v>
      </c>
      <c r="P352" s="310">
        <f t="shared" ca="1" si="163"/>
        <v>23</v>
      </c>
      <c r="Q352" s="304">
        <f t="shared" ca="1" si="164"/>
        <v>0</v>
      </c>
      <c r="R352" s="306">
        <f t="shared" ca="1" si="165"/>
        <v>0</v>
      </c>
      <c r="S352" s="307">
        <f t="shared" ca="1" si="166"/>
        <v>7.9769999999999968</v>
      </c>
      <c r="T352" s="304">
        <f t="shared" ca="1" si="146"/>
        <v>78.254369999999966</v>
      </c>
      <c r="U352" s="311">
        <f t="shared" ca="1" si="147"/>
        <v>0</v>
      </c>
      <c r="V352" s="306">
        <f t="shared" ca="1" si="148"/>
        <v>1.0751375626556878</v>
      </c>
      <c r="W352" s="304">
        <f t="shared" ca="1" si="149"/>
        <v>2.4363239001218191</v>
      </c>
      <c r="Y352" s="314" t="str">
        <f t="shared" ca="1" si="167"/>
        <v/>
      </c>
      <c r="Z352" s="315" t="str">
        <f t="shared" ca="1" si="168"/>
        <v/>
      </c>
      <c r="AA352" s="316" t="str">
        <f t="shared" ca="1" si="169"/>
        <v/>
      </c>
      <c r="AC352" s="310" t="e">
        <f t="shared" ca="1" si="170"/>
        <v>#N/A</v>
      </c>
      <c r="AD352" s="323" t="e">
        <f t="shared" ca="1" si="171"/>
        <v>#N/A</v>
      </c>
      <c r="AE352" s="324" t="e">
        <f t="shared" ca="1" si="150"/>
        <v>#N/A</v>
      </c>
      <c r="AG352" s="306">
        <f t="shared" ca="1" si="172"/>
        <v>4.3562546237889395</v>
      </c>
      <c r="AH352" s="304">
        <f t="shared" ca="1" si="173"/>
        <v>-0.29497940985553533</v>
      </c>
    </row>
    <row r="353" spans="1:34" x14ac:dyDescent="0.2">
      <c r="A353" s="347">
        <f t="shared" ca="1" si="151"/>
        <v>0.1</v>
      </c>
      <c r="B353" s="304">
        <f t="shared" ca="1" si="152"/>
        <v>16.899999999999974</v>
      </c>
      <c r="D353" s="306">
        <f t="shared" ca="1" si="153"/>
        <v>-0.26398538129482774</v>
      </c>
      <c r="E353" s="307">
        <f t="shared" ca="1" si="154"/>
        <v>-9.6564024126027608</v>
      </c>
      <c r="F353" s="304">
        <f t="shared" ca="1" si="155"/>
        <v>9.6600101364158935</v>
      </c>
      <c r="G353" s="306">
        <f t="shared" ca="1" si="156"/>
        <v>22.612386873193621</v>
      </c>
      <c r="H353" s="307">
        <f t="shared" ca="1" si="157"/>
        <v>-14.13781971471199</v>
      </c>
      <c r="I353" s="304">
        <f t="shared" ca="1" si="158"/>
        <v>26.668295528373726</v>
      </c>
      <c r="J353" s="306">
        <f t="shared" ca="1" si="159"/>
        <v>456.11185298077987</v>
      </c>
      <c r="K353" s="307">
        <f t="shared" ca="1" si="160"/>
        <v>1301.7081924790925</v>
      </c>
      <c r="L353" s="304">
        <f t="shared" ca="1" si="145"/>
        <v>1379.3049846921988</v>
      </c>
      <c r="M353" s="306">
        <f t="shared" ca="1" si="161"/>
        <v>-0.55876078298161047</v>
      </c>
      <c r="N353" s="304">
        <f t="shared" ca="1" si="162"/>
        <v>-32.014634622271593</v>
      </c>
      <c r="P353" s="310">
        <f t="shared" ca="1" si="163"/>
        <v>23</v>
      </c>
      <c r="Q353" s="304">
        <f t="shared" ca="1" si="164"/>
        <v>0</v>
      </c>
      <c r="R353" s="306">
        <f t="shared" ca="1" si="165"/>
        <v>0</v>
      </c>
      <c r="S353" s="307">
        <f t="shared" ca="1" si="166"/>
        <v>7.9769999999999968</v>
      </c>
      <c r="T353" s="304">
        <f t="shared" ca="1" si="146"/>
        <v>78.254369999999966</v>
      </c>
      <c r="U353" s="311">
        <f t="shared" ca="1" si="147"/>
        <v>0</v>
      </c>
      <c r="V353" s="306">
        <f t="shared" ca="1" si="148"/>
        <v>1.0752850080023271</v>
      </c>
      <c r="W353" s="304">
        <f t="shared" ca="1" si="149"/>
        <v>2.5260837305516972</v>
      </c>
      <c r="Y353" s="314" t="str">
        <f t="shared" ca="1" si="167"/>
        <v/>
      </c>
      <c r="Z353" s="315" t="str">
        <f t="shared" ca="1" si="168"/>
        <v/>
      </c>
      <c r="AA353" s="316" t="str">
        <f t="shared" ca="1" si="169"/>
        <v/>
      </c>
      <c r="AC353" s="310" t="e">
        <f t="shared" ca="1" si="170"/>
        <v>#N/A</v>
      </c>
      <c r="AD353" s="323" t="e">
        <f t="shared" ca="1" si="171"/>
        <v>#N/A</v>
      </c>
      <c r="AE353" s="324" t="e">
        <f t="shared" ca="1" si="150"/>
        <v>#N/A</v>
      </c>
      <c r="AG353" s="306">
        <f t="shared" ca="1" si="172"/>
        <v>4.6281136441271666</v>
      </c>
      <c r="AH353" s="304">
        <f t="shared" ca="1" si="173"/>
        <v>-0.30541856589216748</v>
      </c>
    </row>
    <row r="354" spans="1:34" x14ac:dyDescent="0.2">
      <c r="A354" s="347">
        <f t="shared" ca="1" si="151"/>
        <v>0.1</v>
      </c>
      <c r="B354" s="304">
        <f t="shared" ca="1" si="152"/>
        <v>16.999999999999975</v>
      </c>
      <c r="D354" s="306">
        <f t="shared" ca="1" si="153"/>
        <v>-0.26850927854853202</v>
      </c>
      <c r="E354" s="307">
        <f t="shared" ca="1" si="154"/>
        <v>-9.6421214034973577</v>
      </c>
      <c r="F354" s="304">
        <f t="shared" ca="1" si="155"/>
        <v>9.6458593392423317</v>
      </c>
      <c r="G354" s="306">
        <f t="shared" ca="1" si="156"/>
        <v>22.585535945338769</v>
      </c>
      <c r="H354" s="307">
        <f t="shared" ca="1" si="157"/>
        <v>-15.102031855061725</v>
      </c>
      <c r="I354" s="304">
        <f t="shared" ca="1" si="158"/>
        <v>27.169427673204467</v>
      </c>
      <c r="J354" s="306">
        <f t="shared" ca="1" si="159"/>
        <v>458.3717491217065</v>
      </c>
      <c r="K354" s="307">
        <f t="shared" ca="1" si="160"/>
        <v>1300.2461999006039</v>
      </c>
      <c r="L354" s="304">
        <f t="shared" ca="1" si="145"/>
        <v>1378.6750308716169</v>
      </c>
      <c r="M354" s="306">
        <f t="shared" ca="1" si="161"/>
        <v>-0.58938094841667632</v>
      </c>
      <c r="N354" s="304">
        <f t="shared" ca="1" si="162"/>
        <v>-33.769040869693235</v>
      </c>
      <c r="P354" s="310">
        <f t="shared" ca="1" si="163"/>
        <v>23</v>
      </c>
      <c r="Q354" s="304">
        <f t="shared" ca="1" si="164"/>
        <v>0</v>
      </c>
      <c r="R354" s="306">
        <f t="shared" ca="1" si="165"/>
        <v>0</v>
      </c>
      <c r="S354" s="307">
        <f t="shared" ca="1" si="166"/>
        <v>7.9769999999999968</v>
      </c>
      <c r="T354" s="304">
        <f t="shared" ca="1" si="146"/>
        <v>78.254369999999966</v>
      </c>
      <c r="U354" s="311">
        <f t="shared" ca="1" si="147"/>
        <v>0</v>
      </c>
      <c r="V354" s="306">
        <f t="shared" ca="1" si="148"/>
        <v>1.0754428934830178</v>
      </c>
      <c r="W354" s="304">
        <f t="shared" ca="1" si="149"/>
        <v>2.6222975358419824</v>
      </c>
      <c r="Y354" s="314" t="str">
        <f t="shared" ca="1" si="167"/>
        <v/>
      </c>
      <c r="Z354" s="315" t="str">
        <f t="shared" ca="1" si="168"/>
        <v/>
      </c>
      <c r="AA354" s="316" t="str">
        <f t="shared" ca="1" si="169"/>
        <v/>
      </c>
      <c r="AC354" s="310">
        <f t="shared" ca="1" si="170"/>
        <v>16.999999999999975</v>
      </c>
      <c r="AD354" s="323">
        <f t="shared" ca="1" si="171"/>
        <v>458.3717491217065</v>
      </c>
      <c r="AE354" s="324" t="e">
        <f t="shared" ca="1" si="150"/>
        <v>#N/A</v>
      </c>
      <c r="AG354" s="306">
        <f t="shared" ca="1" si="172"/>
        <v>4.8839618657238013</v>
      </c>
      <c r="AH354" s="304">
        <f t="shared" ca="1" si="173"/>
        <v>-0.31667089514249697</v>
      </c>
    </row>
    <row r="355" spans="1:34" x14ac:dyDescent="0.2">
      <c r="A355" s="347">
        <f t="shared" ca="1" si="151"/>
        <v>0.1</v>
      </c>
      <c r="B355" s="304">
        <f t="shared" ca="1" si="152"/>
        <v>17.099999999999977</v>
      </c>
      <c r="D355" s="306">
        <f t="shared" ca="1" si="153"/>
        <v>-0.27327020676176422</v>
      </c>
      <c r="E355" s="307">
        <f t="shared" ca="1" si="154"/>
        <v>-9.6272752961212245</v>
      </c>
      <c r="F355" s="304">
        <f t="shared" ca="1" si="155"/>
        <v>9.6311529025973641</v>
      </c>
      <c r="G355" s="306">
        <f t="shared" ca="1" si="156"/>
        <v>22.558208924662594</v>
      </c>
      <c r="H355" s="307">
        <f t="shared" ca="1" si="157"/>
        <v>-16.064759384673849</v>
      </c>
      <c r="I355" s="304">
        <f t="shared" ca="1" si="158"/>
        <v>27.693849208374655</v>
      </c>
      <c r="J355" s="306">
        <f t="shared" ca="1" si="159"/>
        <v>460.62893636520658</v>
      </c>
      <c r="K355" s="307">
        <f t="shared" ca="1" si="160"/>
        <v>1298.6878603386172</v>
      </c>
      <c r="L355" s="304">
        <f t="shared" ca="1" si="145"/>
        <v>1377.9583359477299</v>
      </c>
      <c r="M355" s="306">
        <f t="shared" ca="1" si="161"/>
        <v>-0.61883183531345143</v>
      </c>
      <c r="N355" s="304">
        <f t="shared" ca="1" si="162"/>
        <v>-35.456452391795587</v>
      </c>
      <c r="P355" s="310">
        <f t="shared" ca="1" si="163"/>
        <v>23</v>
      </c>
      <c r="Q355" s="304">
        <f t="shared" ca="1" si="164"/>
        <v>0</v>
      </c>
      <c r="R355" s="306">
        <f t="shared" ca="1" si="165"/>
        <v>0</v>
      </c>
      <c r="S355" s="307">
        <f t="shared" ca="1" si="166"/>
        <v>7.9769999999999968</v>
      </c>
      <c r="T355" s="304">
        <f t="shared" ca="1" si="146"/>
        <v>78.254369999999966</v>
      </c>
      <c r="U355" s="311">
        <f t="shared" ca="1" si="147"/>
        <v>0</v>
      </c>
      <c r="V355" s="306">
        <f t="shared" ca="1" si="148"/>
        <v>1.0756112076624882</v>
      </c>
      <c r="W355" s="304">
        <f t="shared" ca="1" si="149"/>
        <v>2.7249315530776888</v>
      </c>
      <c r="Y355" s="314" t="str">
        <f t="shared" ca="1" si="167"/>
        <v/>
      </c>
      <c r="Z355" s="315" t="str">
        <f t="shared" ca="1" si="168"/>
        <v/>
      </c>
      <c r="AA355" s="316" t="str">
        <f t="shared" ca="1" si="169"/>
        <v/>
      </c>
      <c r="AC355" s="310" t="e">
        <f t="shared" ca="1" si="170"/>
        <v>#N/A</v>
      </c>
      <c r="AD355" s="323" t="e">
        <f t="shared" ca="1" si="171"/>
        <v>#N/A</v>
      </c>
      <c r="AE355" s="324" t="e">
        <f t="shared" ca="1" si="150"/>
        <v>#N/A</v>
      </c>
      <c r="AG355" s="306">
        <f t="shared" ca="1" si="172"/>
        <v>5.1241220756065884</v>
      </c>
      <c r="AH355" s="304">
        <f t="shared" ca="1" si="173"/>
        <v>-0.3287322973350863</v>
      </c>
    </row>
    <row r="356" spans="1:34" x14ac:dyDescent="0.2">
      <c r="A356" s="347">
        <f t="shared" ca="1" si="151"/>
        <v>0.1</v>
      </c>
      <c r="B356" s="304">
        <f t="shared" ca="1" si="152"/>
        <v>17.199999999999978</v>
      </c>
      <c r="D356" s="306">
        <f t="shared" ca="1" si="153"/>
        <v>-0.27825136095306557</v>
      </c>
      <c r="E356" s="307">
        <f t="shared" ca="1" si="154"/>
        <v>-9.6118441456457138</v>
      </c>
      <c r="F356" s="304">
        <f t="shared" ca="1" si="155"/>
        <v>9.6158708238024921</v>
      </c>
      <c r="G356" s="306">
        <f t="shared" ca="1" si="156"/>
        <v>22.530383788567288</v>
      </c>
      <c r="H356" s="307">
        <f t="shared" ca="1" si="157"/>
        <v>-17.025943799238419</v>
      </c>
      <c r="I356" s="304">
        <f t="shared" ca="1" si="158"/>
        <v>28.240059417695296</v>
      </c>
      <c r="J356" s="306">
        <f t="shared" ca="1" si="159"/>
        <v>462.88336600086808</v>
      </c>
      <c r="K356" s="307">
        <f t="shared" ca="1" si="160"/>
        <v>1297.0333251794216</v>
      </c>
      <c r="L356" s="304">
        <f t="shared" ca="1" si="145"/>
        <v>1377.1552044509292</v>
      </c>
      <c r="M356" s="306">
        <f t="shared" ca="1" si="161"/>
        <v>-0.6471315895211639</v>
      </c>
      <c r="N356" s="304">
        <f t="shared" ca="1" si="162"/>
        <v>-37.077908869155102</v>
      </c>
      <c r="P356" s="310">
        <f t="shared" ca="1" si="163"/>
        <v>23</v>
      </c>
      <c r="Q356" s="304">
        <f t="shared" ca="1" si="164"/>
        <v>0</v>
      </c>
      <c r="R356" s="306">
        <f t="shared" ca="1" si="165"/>
        <v>0</v>
      </c>
      <c r="S356" s="307">
        <f t="shared" ca="1" si="166"/>
        <v>7.9769999999999968</v>
      </c>
      <c r="T356" s="304">
        <f t="shared" ca="1" si="146"/>
        <v>78.254369999999966</v>
      </c>
      <c r="U356" s="311">
        <f t="shared" ca="1" si="147"/>
        <v>0</v>
      </c>
      <c r="V356" s="306">
        <f t="shared" ca="1" si="148"/>
        <v>1.0757899387595662</v>
      </c>
      <c r="W356" s="304">
        <f t="shared" ca="1" si="149"/>
        <v>2.8339509107341549</v>
      </c>
      <c r="Y356" s="314" t="str">
        <f t="shared" ca="1" si="167"/>
        <v/>
      </c>
      <c r="Z356" s="315" t="str">
        <f t="shared" ca="1" si="168"/>
        <v/>
      </c>
      <c r="AA356" s="316" t="str">
        <f t="shared" ca="1" si="169"/>
        <v/>
      </c>
      <c r="AC356" s="310" t="e">
        <f t="shared" ca="1" si="170"/>
        <v>#N/A</v>
      </c>
      <c r="AD356" s="323" t="e">
        <f t="shared" ca="1" si="171"/>
        <v>#N/A</v>
      </c>
      <c r="AE356" s="324" t="e">
        <f t="shared" ca="1" si="150"/>
        <v>#N/A</v>
      </c>
      <c r="AG356" s="306">
        <f t="shared" ca="1" si="172"/>
        <v>5.3490256986030351</v>
      </c>
      <c r="AH356" s="304">
        <f t="shared" ca="1" si="173"/>
        <v>-0.34159853993703021</v>
      </c>
    </row>
    <row r="357" spans="1:34" x14ac:dyDescent="0.2">
      <c r="A357" s="347">
        <f t="shared" ca="1" si="151"/>
        <v>0.1</v>
      </c>
      <c r="B357" s="304">
        <f t="shared" ca="1" si="152"/>
        <v>17.299999999999979</v>
      </c>
      <c r="D357" s="306">
        <f t="shared" ca="1" si="153"/>
        <v>-0.28343645965071418</v>
      </c>
      <c r="E357" s="307">
        <f t="shared" ca="1" si="154"/>
        <v>-9.5958104292428015</v>
      </c>
      <c r="F357" s="304">
        <f t="shared" ca="1" si="155"/>
        <v>9.5999955219064681</v>
      </c>
      <c r="G357" s="306">
        <f t="shared" ca="1" si="156"/>
        <v>22.502040142602215</v>
      </c>
      <c r="H357" s="307">
        <f t="shared" ca="1" si="157"/>
        <v>-17.9855248421627</v>
      </c>
      <c r="I357" s="304">
        <f t="shared" ca="1" si="158"/>
        <v>28.806612338616514</v>
      </c>
      <c r="J357" s="306">
        <f t="shared" ca="1" si="159"/>
        <v>465.13498719742654</v>
      </c>
      <c r="K357" s="307">
        <f t="shared" ca="1" si="160"/>
        <v>1295.2827517473515</v>
      </c>
      <c r="L357" s="304">
        <f t="shared" ca="1" si="145"/>
        <v>1376.2659493315023</v>
      </c>
      <c r="M357" s="306">
        <f t="shared" ca="1" si="161"/>
        <v>-0.6743043179340108</v>
      </c>
      <c r="N357" s="304">
        <f t="shared" ca="1" si="162"/>
        <v>-38.634791525066447</v>
      </c>
      <c r="P357" s="310">
        <f t="shared" ca="1" si="163"/>
        <v>23</v>
      </c>
      <c r="Q357" s="304">
        <f t="shared" ca="1" si="164"/>
        <v>0</v>
      </c>
      <c r="R357" s="306">
        <f t="shared" ca="1" si="165"/>
        <v>0</v>
      </c>
      <c r="S357" s="307">
        <f t="shared" ca="1" si="166"/>
        <v>7.9769999999999968</v>
      </c>
      <c r="T357" s="304">
        <f t="shared" ca="1" si="146"/>
        <v>78.254369999999966</v>
      </c>
      <c r="U357" s="311">
        <f t="shared" ca="1" si="147"/>
        <v>0</v>
      </c>
      <c r="V357" s="306">
        <f t="shared" ca="1" si="148"/>
        <v>1.0759790746253126</v>
      </c>
      <c r="W357" s="304">
        <f t="shared" ca="1" si="149"/>
        <v>2.9493195824451992</v>
      </c>
      <c r="Y357" s="314" t="str">
        <f t="shared" ca="1" si="167"/>
        <v/>
      </c>
      <c r="Z357" s="315" t="str">
        <f t="shared" ca="1" si="168"/>
        <v/>
      </c>
      <c r="AA357" s="316" t="str">
        <f t="shared" ca="1" si="169"/>
        <v/>
      </c>
      <c r="AC357" s="310" t="e">
        <f t="shared" ca="1" si="170"/>
        <v>#N/A</v>
      </c>
      <c r="AD357" s="323" t="e">
        <f t="shared" ca="1" si="171"/>
        <v>#N/A</v>
      </c>
      <c r="AE357" s="324" t="e">
        <f t="shared" ca="1" si="150"/>
        <v>#N/A</v>
      </c>
      <c r="AG357" s="306">
        <f t="shared" ca="1" si="172"/>
        <v>5.5591879088773792</v>
      </c>
      <c r="AH357" s="304">
        <f t="shared" ca="1" si="173"/>
        <v>-0.35526525143965854</v>
      </c>
    </row>
    <row r="358" spans="1:34" x14ac:dyDescent="0.2">
      <c r="A358" s="347">
        <f t="shared" ca="1" si="151"/>
        <v>0.1</v>
      </c>
      <c r="B358" s="304">
        <f t="shared" ca="1" si="152"/>
        <v>17.399999999999981</v>
      </c>
      <c r="D358" s="306">
        <f t="shared" ca="1" si="153"/>
        <v>-0.28880981560903779</v>
      </c>
      <c r="E358" s="307">
        <f t="shared" ca="1" si="154"/>
        <v>-9.5791588815779232</v>
      </c>
      <c r="F358" s="304">
        <f t="shared" ca="1" si="155"/>
        <v>9.5835116730823326</v>
      </c>
      <c r="G358" s="306">
        <f t="shared" ca="1" si="156"/>
        <v>22.473159161041313</v>
      </c>
      <c r="H358" s="307">
        <f t="shared" ca="1" si="157"/>
        <v>-18.943440730320493</v>
      </c>
      <c r="I358" s="304">
        <f t="shared" ca="1" si="158"/>
        <v>29.392121893130827</v>
      </c>
      <c r="J358" s="306">
        <f t="shared" ca="1" si="159"/>
        <v>467.3837471626087</v>
      </c>
      <c r="K358" s="307">
        <f t="shared" ca="1" si="160"/>
        <v>1293.4363034687274</v>
      </c>
      <c r="L358" s="304">
        <f t="shared" ca="1" si="145"/>
        <v>1375.2908922270253</v>
      </c>
      <c r="M358" s="306">
        <f t="shared" ca="1" si="161"/>
        <v>-0.70037887783429675</v>
      </c>
      <c r="N358" s="304">
        <f t="shared" ca="1" si="162"/>
        <v>-40.128753760013886</v>
      </c>
      <c r="P358" s="310">
        <f t="shared" ca="1" si="163"/>
        <v>23</v>
      </c>
      <c r="Q358" s="304">
        <f t="shared" ca="1" si="164"/>
        <v>0</v>
      </c>
      <c r="R358" s="306">
        <f t="shared" ca="1" si="165"/>
        <v>0</v>
      </c>
      <c r="S358" s="307">
        <f t="shared" ca="1" si="166"/>
        <v>7.9769999999999968</v>
      </c>
      <c r="T358" s="304">
        <f t="shared" ca="1" si="146"/>
        <v>78.254369999999966</v>
      </c>
      <c r="U358" s="311">
        <f t="shared" ca="1" si="147"/>
        <v>0</v>
      </c>
      <c r="V358" s="306">
        <f t="shared" ca="1" si="148"/>
        <v>1.0761786027235933</v>
      </c>
      <c r="W358" s="304">
        <f t="shared" ca="1" si="149"/>
        <v>3.0710003476257315</v>
      </c>
      <c r="Y358" s="314" t="str">
        <f t="shared" ca="1" si="167"/>
        <v/>
      </c>
      <c r="Z358" s="315" t="str">
        <f t="shared" ca="1" si="168"/>
        <v/>
      </c>
      <c r="AA358" s="316" t="str">
        <f t="shared" ca="1" si="169"/>
        <v/>
      </c>
      <c r="AC358" s="310" t="e">
        <f t="shared" ca="1" si="170"/>
        <v>#N/A</v>
      </c>
      <c r="AD358" s="323" t="e">
        <f t="shared" ca="1" si="171"/>
        <v>#N/A</v>
      </c>
      <c r="AE358" s="324" t="e">
        <f t="shared" ca="1" si="150"/>
        <v>#N/A</v>
      </c>
      <c r="AG358" s="306">
        <f t="shared" ca="1" si="172"/>
        <v>5.7551852338077909</v>
      </c>
      <c r="AH358" s="304">
        <f t="shared" ca="1" si="173"/>
        <v>-0.36972791556289336</v>
      </c>
    </row>
    <row r="359" spans="1:34" x14ac:dyDescent="0.2">
      <c r="A359" s="347">
        <f t="shared" ca="1" si="151"/>
        <v>0.1</v>
      </c>
      <c r="B359" s="304">
        <f t="shared" ca="1" si="152"/>
        <v>17.499999999999982</v>
      </c>
      <c r="D359" s="306">
        <f t="shared" ca="1" si="153"/>
        <v>-0.29435638527074087</v>
      </c>
      <c r="E359" s="307">
        <f t="shared" ca="1" si="154"/>
        <v>-9.5618763295356253</v>
      </c>
      <c r="F359" s="304">
        <f t="shared" ca="1" si="155"/>
        <v>9.5664060452650315</v>
      </c>
      <c r="G359" s="306">
        <f t="shared" ca="1" si="156"/>
        <v>22.44372352251424</v>
      </c>
      <c r="H359" s="307">
        <f t="shared" ca="1" si="157"/>
        <v>-19.899628363274054</v>
      </c>
      <c r="I359" s="304">
        <f t="shared" ca="1" si="158"/>
        <v>29.995265202219503</v>
      </c>
      <c r="J359" s="306">
        <f t="shared" ca="1" si="159"/>
        <v>469.62959129678649</v>
      </c>
      <c r="K359" s="307">
        <f t="shared" ca="1" si="160"/>
        <v>1291.4941500140476</v>
      </c>
      <c r="L359" s="304">
        <f t="shared" ca="1" si="145"/>
        <v>1374.2303637098453</v>
      </c>
      <c r="M359" s="306">
        <f t="shared" ca="1" si="161"/>
        <v>-0.72538778768412049</v>
      </c>
      <c r="N359" s="304">
        <f t="shared" ca="1" si="162"/>
        <v>-41.561658744631941</v>
      </c>
      <c r="P359" s="310">
        <f t="shared" ca="1" si="163"/>
        <v>23</v>
      </c>
      <c r="Q359" s="304">
        <f t="shared" ca="1" si="164"/>
        <v>0</v>
      </c>
      <c r="R359" s="306">
        <f t="shared" ca="1" si="165"/>
        <v>0</v>
      </c>
      <c r="S359" s="307">
        <f t="shared" ca="1" si="166"/>
        <v>7.9769999999999968</v>
      </c>
      <c r="T359" s="304">
        <f t="shared" ca="1" si="146"/>
        <v>78.254369999999966</v>
      </c>
      <c r="U359" s="311">
        <f t="shared" ca="1" si="147"/>
        <v>0</v>
      </c>
      <c r="V359" s="306">
        <f t="shared" ca="1" si="148"/>
        <v>1.0763885101139166</v>
      </c>
      <c r="W359" s="304">
        <f t="shared" ca="1" si="149"/>
        <v>3.1989547584693288</v>
      </c>
      <c r="Y359" s="314" t="str">
        <f t="shared" ca="1" si="167"/>
        <v/>
      </c>
      <c r="Z359" s="315" t="str">
        <f t="shared" ca="1" si="168"/>
        <v/>
      </c>
      <c r="AA359" s="316" t="str">
        <f t="shared" ca="1" si="169"/>
        <v/>
      </c>
      <c r="AC359" s="310" t="e">
        <f t="shared" ca="1" si="170"/>
        <v>#N/A</v>
      </c>
      <c r="AD359" s="323" t="e">
        <f t="shared" ca="1" si="171"/>
        <v>#N/A</v>
      </c>
      <c r="AE359" s="324" t="e">
        <f t="shared" ca="1" si="150"/>
        <v>#N/A</v>
      </c>
      <c r="AG359" s="306">
        <f t="shared" ca="1" si="172"/>
        <v>5.9376359508001721</v>
      </c>
      <c r="AH359" s="304">
        <f t="shared" ca="1" si="173"/>
        <v>-0.38498186631888337</v>
      </c>
    </row>
    <row r="360" spans="1:34" x14ac:dyDescent="0.2">
      <c r="A360" s="347">
        <f t="shared" ca="1" si="151"/>
        <v>0.1</v>
      </c>
      <c r="B360" s="304">
        <f t="shared" ca="1" si="152"/>
        <v>17.599999999999984</v>
      </c>
      <c r="D360" s="306">
        <f t="shared" ca="1" si="153"/>
        <v>-0.30006179991992155</v>
      </c>
      <c r="E360" s="307">
        <f t="shared" ca="1" si="154"/>
        <v>-9.5439515299931568</v>
      </c>
      <c r="F360" s="304">
        <f t="shared" ca="1" si="155"/>
        <v>9.548667335844824</v>
      </c>
      <c r="G360" s="306">
        <f t="shared" ca="1" si="156"/>
        <v>22.413717342522247</v>
      </c>
      <c r="H360" s="307">
        <f t="shared" ca="1" si="157"/>
        <v>-20.854023516273369</v>
      </c>
      <c r="I360" s="304">
        <f t="shared" ca="1" si="158"/>
        <v>30.614784368467554</v>
      </c>
      <c r="J360" s="306">
        <f t="shared" ca="1" si="159"/>
        <v>471.87246334003834</v>
      </c>
      <c r="K360" s="307">
        <f t="shared" ca="1" si="160"/>
        <v>1289.4564674200701</v>
      </c>
      <c r="L360" s="304">
        <f t="shared" ca="1" si="145"/>
        <v>1373.084703516153</v>
      </c>
      <c r="M360" s="306">
        <f t="shared" ca="1" si="161"/>
        <v>-0.74936626631612335</v>
      </c>
      <c r="N360" s="304">
        <f t="shared" ca="1" si="162"/>
        <v>-42.935524369390329</v>
      </c>
      <c r="P360" s="310">
        <f t="shared" ca="1" si="163"/>
        <v>23</v>
      </c>
      <c r="Q360" s="304">
        <f t="shared" ca="1" si="164"/>
        <v>0</v>
      </c>
      <c r="R360" s="306">
        <f t="shared" ca="1" si="165"/>
        <v>0</v>
      </c>
      <c r="S360" s="307">
        <f t="shared" ca="1" si="166"/>
        <v>7.9769999999999968</v>
      </c>
      <c r="T360" s="304">
        <f t="shared" ca="1" si="146"/>
        <v>78.254369999999966</v>
      </c>
      <c r="U360" s="311">
        <f t="shared" ca="1" si="147"/>
        <v>0</v>
      </c>
      <c r="V360" s="306">
        <f t="shared" ca="1" si="148"/>
        <v>1.0766087834363576</v>
      </c>
      <c r="W360" s="304">
        <f t="shared" ca="1" si="149"/>
        <v>3.3331431128470292</v>
      </c>
      <c r="Y360" s="314" t="str">
        <f t="shared" ca="1" si="167"/>
        <v/>
      </c>
      <c r="Z360" s="315" t="str">
        <f t="shared" ca="1" si="168"/>
        <v/>
      </c>
      <c r="AA360" s="316" t="str">
        <f t="shared" ca="1" si="169"/>
        <v/>
      </c>
      <c r="AC360" s="310" t="e">
        <f t="shared" ca="1" si="170"/>
        <v>#N/A</v>
      </c>
      <c r="AD360" s="323" t="e">
        <f t="shared" ca="1" si="171"/>
        <v>#N/A</v>
      </c>
      <c r="AE360" s="324" t="e">
        <f t="shared" ca="1" si="150"/>
        <v>#N/A</v>
      </c>
      <c r="AG360" s="306">
        <f t="shared" ca="1" si="172"/>
        <v>6.1071833588368793</v>
      </c>
      <c r="AH360" s="304">
        <f t="shared" ca="1" si="173"/>
        <v>-0.40102228387480632</v>
      </c>
    </row>
    <row r="361" spans="1:34" x14ac:dyDescent="0.2">
      <c r="A361" s="347">
        <f t="shared" ca="1" si="151"/>
        <v>0.1</v>
      </c>
      <c r="B361" s="304">
        <f t="shared" ca="1" si="152"/>
        <v>17.699999999999985</v>
      </c>
      <c r="D361" s="306">
        <f t="shared" ca="1" si="153"/>
        <v>-0.30591238145120742</v>
      </c>
      <c r="E361" s="307">
        <f t="shared" ca="1" si="154"/>
        <v>-9.5253750134699988</v>
      </c>
      <c r="F361" s="304">
        <f t="shared" ca="1" si="155"/>
        <v>9.5302860152444389</v>
      </c>
      <c r="G361" s="306">
        <f t="shared" ca="1" si="156"/>
        <v>22.383126104377126</v>
      </c>
      <c r="H361" s="307">
        <f t="shared" ca="1" si="157"/>
        <v>-21.806561017620368</v>
      </c>
      <c r="I361" s="304">
        <f t="shared" ca="1" si="158"/>
        <v>31.249486997703642</v>
      </c>
      <c r="J361" s="306">
        <f t="shared" ca="1" si="159"/>
        <v>474.11230551238333</v>
      </c>
      <c r="K361" s="307">
        <f t="shared" ca="1" si="160"/>
        <v>1287.3234381933755</v>
      </c>
      <c r="L361" s="304">
        <f t="shared" ca="1" si="145"/>
        <v>1371.8542607581467</v>
      </c>
      <c r="M361" s="306">
        <f t="shared" ca="1" si="161"/>
        <v>-0.77235140045317308</v>
      </c>
      <c r="N361" s="304">
        <f t="shared" ca="1" si="162"/>
        <v>-44.252475546985352</v>
      </c>
      <c r="P361" s="310">
        <f t="shared" ca="1" si="163"/>
        <v>23</v>
      </c>
      <c r="Q361" s="304">
        <f t="shared" ca="1" si="164"/>
        <v>0</v>
      </c>
      <c r="R361" s="306">
        <f t="shared" ca="1" si="165"/>
        <v>0</v>
      </c>
      <c r="S361" s="307">
        <f t="shared" ca="1" si="166"/>
        <v>7.9769999999999968</v>
      </c>
      <c r="T361" s="304">
        <f t="shared" ca="1" si="146"/>
        <v>78.254369999999966</v>
      </c>
      <c r="U361" s="311">
        <f t="shared" ca="1" si="147"/>
        <v>0</v>
      </c>
      <c r="V361" s="306">
        <f t="shared" ca="1" si="148"/>
        <v>1.0768394088983955</v>
      </c>
      <c r="W361" s="304">
        <f t="shared" ca="1" si="149"/>
        <v>3.4735244326479697</v>
      </c>
      <c r="Y361" s="314" t="str">
        <f t="shared" ca="1" si="167"/>
        <v/>
      </c>
      <c r="Z361" s="315" t="str">
        <f t="shared" ca="1" si="168"/>
        <v/>
      </c>
      <c r="AA361" s="316" t="str">
        <f t="shared" ca="1" si="169"/>
        <v/>
      </c>
      <c r="AC361" s="310" t="e">
        <f t="shared" ca="1" si="170"/>
        <v>#N/A</v>
      </c>
      <c r="AD361" s="323" t="e">
        <f t="shared" ca="1" si="171"/>
        <v>#N/A</v>
      </c>
      <c r="AE361" s="324" t="e">
        <f t="shared" ca="1" si="150"/>
        <v>#N/A</v>
      </c>
      <c r="AG361" s="306">
        <f t="shared" ca="1" si="172"/>
        <v>6.2644818455861904</v>
      </c>
      <c r="AH361" s="304">
        <f t="shared" ca="1" si="173"/>
        <v>-0.41784419115545074</v>
      </c>
    </row>
    <row r="362" spans="1:34" x14ac:dyDescent="0.2">
      <c r="A362" s="347">
        <f t="shared" ca="1" si="151"/>
        <v>0.1</v>
      </c>
      <c r="B362" s="304">
        <f t="shared" ca="1" si="152"/>
        <v>17.799999999999986</v>
      </c>
      <c r="D362" s="306">
        <f t="shared" ca="1" si="153"/>
        <v>-0.31189514552712766</v>
      </c>
      <c r="E362" s="307">
        <f t="shared" ca="1" si="154"/>
        <v>-9.5061389356285293</v>
      </c>
      <c r="F362" s="304">
        <f t="shared" ca="1" si="155"/>
        <v>9.5112541783550348</v>
      </c>
      <c r="G362" s="306">
        <f t="shared" ca="1" si="156"/>
        <v>22.351936589824415</v>
      </c>
      <c r="H362" s="307">
        <f t="shared" ca="1" si="157"/>
        <v>-22.75717491118322</v>
      </c>
      <c r="I362" s="304">
        <f t="shared" ca="1" si="158"/>
        <v>31.89824570809057</v>
      </c>
      <c r="J362" s="306">
        <f t="shared" ca="1" si="159"/>
        <v>476.34905864709339</v>
      </c>
      <c r="K362" s="307">
        <f t="shared" ca="1" si="160"/>
        <v>1285.0952513969353</v>
      </c>
      <c r="L362" s="304">
        <f t="shared" ca="1" si="145"/>
        <v>1370.5393941207687</v>
      </c>
      <c r="M362" s="306">
        <f t="shared" ca="1" si="161"/>
        <v>-0.7943814354464106</v>
      </c>
      <c r="N362" s="304">
        <f t="shared" ca="1" si="162"/>
        <v>-45.514703574623383</v>
      </c>
      <c r="P362" s="310">
        <f t="shared" ca="1" si="163"/>
        <v>23</v>
      </c>
      <c r="Q362" s="304">
        <f t="shared" ca="1" si="164"/>
        <v>0</v>
      </c>
      <c r="R362" s="306">
        <f t="shared" ca="1" si="165"/>
        <v>0</v>
      </c>
      <c r="S362" s="307">
        <f t="shared" ca="1" si="166"/>
        <v>7.9769999999999968</v>
      </c>
      <c r="T362" s="304">
        <f t="shared" ca="1" si="146"/>
        <v>78.254369999999966</v>
      </c>
      <c r="U362" s="311">
        <f t="shared" ca="1" si="147"/>
        <v>0</v>
      </c>
      <c r="V362" s="306">
        <f t="shared" ca="1" si="148"/>
        <v>1.0770803722635041</v>
      </c>
      <c r="W362" s="304">
        <f t="shared" ca="1" si="149"/>
        <v>3.6200564471231282</v>
      </c>
      <c r="Y362" s="314" t="str">
        <f t="shared" ca="1" si="167"/>
        <v/>
      </c>
      <c r="Z362" s="315" t="str">
        <f t="shared" ca="1" si="168"/>
        <v/>
      </c>
      <c r="AA362" s="316" t="str">
        <f t="shared" ca="1" si="169"/>
        <v/>
      </c>
      <c r="AC362" s="310" t="e">
        <f t="shared" ca="1" si="170"/>
        <v>#N/A</v>
      </c>
      <c r="AD362" s="323" t="e">
        <f t="shared" ca="1" si="171"/>
        <v>#N/A</v>
      </c>
      <c r="AE362" s="324" t="e">
        <f t="shared" ca="1" si="150"/>
        <v>#N/A</v>
      </c>
      <c r="AG362" s="306">
        <f t="shared" ca="1" si="172"/>
        <v>6.4101855618558972</v>
      </c>
      <c r="AH362" s="304">
        <f t="shared" ca="1" si="173"/>
        <v>-0.43544245112798935</v>
      </c>
    </row>
    <row r="363" spans="1:34" x14ac:dyDescent="0.2">
      <c r="A363" s="347">
        <f t="shared" ca="1" si="151"/>
        <v>0.1</v>
      </c>
      <c r="B363" s="304">
        <f t="shared" ca="1" si="152"/>
        <v>17.899999999999988</v>
      </c>
      <c r="D363" s="306">
        <f t="shared" ca="1" si="153"/>
        <v>-0.31799779465707745</v>
      </c>
      <c r="E363" s="307">
        <f t="shared" ca="1" si="154"/>
        <v>-9.4862369378912739</v>
      </c>
      <c r="F363" s="304">
        <f t="shared" ca="1" si="155"/>
        <v>9.4915654050962317</v>
      </c>
      <c r="G363" s="306">
        <f t="shared" ca="1" si="156"/>
        <v>22.320136810358708</v>
      </c>
      <c r="H363" s="307">
        <f t="shared" ca="1" si="157"/>
        <v>-23.705798604972347</v>
      </c>
      <c r="I363" s="304">
        <f t="shared" ca="1" si="158"/>
        <v>32.559996847859779</v>
      </c>
      <c r="J363" s="306">
        <f t="shared" ca="1" si="159"/>
        <v>478.58266231710252</v>
      </c>
      <c r="K363" s="307">
        <f t="shared" ca="1" si="160"/>
        <v>1282.7721027211276</v>
      </c>
      <c r="L363" s="304">
        <f t="shared" ca="1" si="145"/>
        <v>1369.1404720444534</v>
      </c>
      <c r="M363" s="306">
        <f t="shared" ca="1" si="161"/>
        <v>-0.81549518077023897</v>
      </c>
      <c r="N363" s="304">
        <f t="shared" ca="1" si="162"/>
        <v>-46.724432071392826</v>
      </c>
      <c r="P363" s="310">
        <f t="shared" ca="1" si="163"/>
        <v>23</v>
      </c>
      <c r="Q363" s="304">
        <f t="shared" ca="1" si="164"/>
        <v>0</v>
      </c>
      <c r="R363" s="306">
        <f t="shared" ca="1" si="165"/>
        <v>0</v>
      </c>
      <c r="S363" s="307">
        <f t="shared" ca="1" si="166"/>
        <v>7.9769999999999968</v>
      </c>
      <c r="T363" s="304">
        <f t="shared" ca="1" si="146"/>
        <v>78.254369999999966</v>
      </c>
      <c r="U363" s="311">
        <f t="shared" ca="1" si="147"/>
        <v>0</v>
      </c>
      <c r="V363" s="306">
        <f t="shared" ca="1" si="148"/>
        <v>1.0773316588413342</v>
      </c>
      <c r="W363" s="304">
        <f t="shared" ca="1" si="149"/>
        <v>3.7726955808180875</v>
      </c>
      <c r="Y363" s="314" t="str">
        <f t="shared" ca="1" si="167"/>
        <v/>
      </c>
      <c r="Z363" s="315" t="str">
        <f t="shared" ca="1" si="168"/>
        <v/>
      </c>
      <c r="AA363" s="316" t="str">
        <f t="shared" ca="1" si="169"/>
        <v/>
      </c>
      <c r="AC363" s="310" t="e">
        <f t="shared" ca="1" si="170"/>
        <v>#N/A</v>
      </c>
      <c r="AD363" s="323" t="e">
        <f t="shared" ca="1" si="171"/>
        <v>#N/A</v>
      </c>
      <c r="AE363" s="324" t="e">
        <f t="shared" ca="1" si="150"/>
        <v>#N/A</v>
      </c>
      <c r="AG363" s="306">
        <f t="shared" ca="1" si="172"/>
        <v>6.5449394494345974</v>
      </c>
      <c r="AH363" s="304">
        <f t="shared" ca="1" si="173"/>
        <v>-0.4538117647139438</v>
      </c>
    </row>
    <row r="364" spans="1:34" x14ac:dyDescent="0.2">
      <c r="A364" s="347">
        <f t="shared" ca="1" si="151"/>
        <v>0.1</v>
      </c>
      <c r="B364" s="304">
        <f t="shared" ca="1" si="152"/>
        <v>17.999999999999989</v>
      </c>
      <c r="D364" s="306">
        <f t="shared" ca="1" si="153"/>
        <v>-0.32420870344609048</v>
      </c>
      <c r="E364" s="307">
        <f t="shared" ca="1" si="154"/>
        <v>-9.4656640178699387</v>
      </c>
      <c r="F364" s="304">
        <f t="shared" ca="1" si="155"/>
        <v>9.4712146307951368</v>
      </c>
      <c r="G364" s="306">
        <f t="shared" ca="1" si="156"/>
        <v>22.287715940014099</v>
      </c>
      <c r="H364" s="307">
        <f t="shared" ca="1" si="157"/>
        <v>-24.652365006759343</v>
      </c>
      <c r="I364" s="304">
        <f t="shared" ca="1" si="158"/>
        <v>33.233738613782997</v>
      </c>
      <c r="J364" s="306">
        <f t="shared" ca="1" si="159"/>
        <v>480.81305495462118</v>
      </c>
      <c r="K364" s="307">
        <f t="shared" ca="1" si="160"/>
        <v>1280.3541945405409</v>
      </c>
      <c r="L364" s="304">
        <f t="shared" ca="1" si="145"/>
        <v>1367.6578728952475</v>
      </c>
      <c r="M364" s="306">
        <f t="shared" ca="1" si="161"/>
        <v>-0.83573151982887528</v>
      </c>
      <c r="N364" s="304">
        <f t="shared" ca="1" si="162"/>
        <v>-47.883888892248429</v>
      </c>
      <c r="P364" s="310">
        <f t="shared" ca="1" si="163"/>
        <v>23</v>
      </c>
      <c r="Q364" s="304">
        <f t="shared" ca="1" si="164"/>
        <v>0</v>
      </c>
      <c r="R364" s="306">
        <f t="shared" ca="1" si="165"/>
        <v>0</v>
      </c>
      <c r="S364" s="307">
        <f t="shared" ca="1" si="166"/>
        <v>7.9769999999999968</v>
      </c>
      <c r="T364" s="304">
        <f t="shared" ca="1" si="146"/>
        <v>78.254369999999966</v>
      </c>
      <c r="U364" s="311">
        <f t="shared" ca="1" si="147"/>
        <v>0</v>
      </c>
      <c r="V364" s="306">
        <f t="shared" ca="1" si="148"/>
        <v>1.0775932534793484</v>
      </c>
      <c r="W364" s="304">
        <f t="shared" ca="1" si="149"/>
        <v>3.9313969457078728</v>
      </c>
      <c r="Y364" s="314" t="str">
        <f t="shared" ca="1" si="167"/>
        <v/>
      </c>
      <c r="Z364" s="315" t="str">
        <f t="shared" ca="1" si="168"/>
        <v/>
      </c>
      <c r="AA364" s="316" t="str">
        <f t="shared" ca="1" si="169"/>
        <v/>
      </c>
      <c r="AC364" s="310">
        <f t="shared" ca="1" si="170"/>
        <v>17.999999999999989</v>
      </c>
      <c r="AD364" s="323">
        <f t="shared" ca="1" si="171"/>
        <v>480.81305495462118</v>
      </c>
      <c r="AE364" s="324" t="e">
        <f t="shared" ca="1" si="150"/>
        <v>#N/A</v>
      </c>
      <c r="AG364" s="306">
        <f t="shared" ca="1" si="172"/>
        <v>6.6693723365088795</v>
      </c>
      <c r="AH364" s="304">
        <f t="shared" ca="1" si="173"/>
        <v>-0.47294666927643086</v>
      </c>
    </row>
    <row r="365" spans="1:34" x14ac:dyDescent="0.2">
      <c r="A365" s="347">
        <f t="shared" ca="1" si="151"/>
        <v>0.1</v>
      </c>
      <c r="B365" s="304">
        <f t="shared" ca="1" si="152"/>
        <v>18.099999999999991</v>
      </c>
      <c r="D365" s="306">
        <f t="shared" ca="1" si="153"/>
        <v>-0.33051689795968109</v>
      </c>
      <c r="E365" s="307">
        <f t="shared" ca="1" si="154"/>
        <v>-9.444416409858519</v>
      </c>
      <c r="F365" s="304">
        <f t="shared" ca="1" si="155"/>
        <v>9.450198026636361</v>
      </c>
      <c r="G365" s="306">
        <f t="shared" ca="1" si="156"/>
        <v>22.254664250218131</v>
      </c>
      <c r="H365" s="307">
        <f t="shared" ca="1" si="157"/>
        <v>-25.596806647745193</v>
      </c>
      <c r="I365" s="304">
        <f t="shared" ca="1" si="158"/>
        <v>33.918528733599125</v>
      </c>
      <c r="J365" s="306">
        <f t="shared" ca="1" si="159"/>
        <v>483.0401739641328</v>
      </c>
      <c r="K365" s="307">
        <f t="shared" ca="1" si="160"/>
        <v>1277.8417359578157</v>
      </c>
      <c r="L365" s="304">
        <f t="shared" ca="1" si="145"/>
        <v>1366.0919851236167</v>
      </c>
      <c r="M365" s="306">
        <f t="shared" ca="1" si="161"/>
        <v>-0.85512901269826125</v>
      </c>
      <c r="N365" s="304">
        <f t="shared" ca="1" si="162"/>
        <v>-48.995283366799349</v>
      </c>
      <c r="P365" s="310">
        <f t="shared" ca="1" si="163"/>
        <v>23</v>
      </c>
      <c r="Q365" s="304">
        <f t="shared" ca="1" si="164"/>
        <v>0</v>
      </c>
      <c r="R365" s="306">
        <f t="shared" ca="1" si="165"/>
        <v>0</v>
      </c>
      <c r="S365" s="307">
        <f t="shared" ca="1" si="166"/>
        <v>7.9769999999999968</v>
      </c>
      <c r="T365" s="304">
        <f t="shared" ca="1" si="146"/>
        <v>78.254369999999966</v>
      </c>
      <c r="U365" s="311">
        <f t="shared" ca="1" si="147"/>
        <v>0</v>
      </c>
      <c r="V365" s="306">
        <f t="shared" ca="1" si="148"/>
        <v>1.0778651405557735</v>
      </c>
      <c r="W365" s="304">
        <f t="shared" ca="1" si="149"/>
        <v>4.0961143371749698</v>
      </c>
      <c r="Y365" s="314" t="str">
        <f t="shared" ca="1" si="167"/>
        <v/>
      </c>
      <c r="Z365" s="315" t="str">
        <f t="shared" ca="1" si="168"/>
        <v/>
      </c>
      <c r="AA365" s="316" t="str">
        <f t="shared" ca="1" si="169"/>
        <v/>
      </c>
      <c r="AC365" s="310" t="e">
        <f t="shared" ca="1" si="170"/>
        <v>#N/A</v>
      </c>
      <c r="AD365" s="323" t="e">
        <f t="shared" ca="1" si="171"/>
        <v>#N/A</v>
      </c>
      <c r="AE365" s="324" t="e">
        <f t="shared" ca="1" si="150"/>
        <v>#N/A</v>
      </c>
      <c r="AG365" s="306">
        <f t="shared" ca="1" si="172"/>
        <v>6.7840918079272221</v>
      </c>
      <c r="AH365" s="304">
        <f t="shared" ca="1" si="173"/>
        <v>-0.49284153763418259</v>
      </c>
    </row>
    <row r="366" spans="1:34" x14ac:dyDescent="0.2">
      <c r="A366" s="347">
        <f t="shared" ca="1" si="151"/>
        <v>0.1</v>
      </c>
      <c r="B366" s="304">
        <f t="shared" ca="1" si="152"/>
        <v>18.199999999999992</v>
      </c>
      <c r="D366" s="306">
        <f t="shared" ca="1" si="153"/>
        <v>-0.33691203085319682</v>
      </c>
      <c r="E366" s="307">
        <f t="shared" ca="1" si="154"/>
        <v>-9.4224914753111175</v>
      </c>
      <c r="F366" s="304">
        <f t="shared" ca="1" si="155"/>
        <v>9.4285128901033115</v>
      </c>
      <c r="G366" s="306">
        <f t="shared" ca="1" si="156"/>
        <v>22.220973047132812</v>
      </c>
      <c r="H366" s="307">
        <f t="shared" ca="1" si="157"/>
        <v>-26.539055795276305</v>
      </c>
      <c r="I366" s="304">
        <f t="shared" ca="1" si="158"/>
        <v>34.613481848351974</v>
      </c>
      <c r="J366" s="306">
        <f t="shared" ca="1" si="159"/>
        <v>485.26395582900034</v>
      </c>
      <c r="K366" s="307">
        <f t="shared" ca="1" si="160"/>
        <v>1275.2349428356647</v>
      </c>
      <c r="L366" s="304">
        <f t="shared" ca="1" si="145"/>
        <v>1364.4432074131525</v>
      </c>
      <c r="M366" s="306">
        <f t="shared" ca="1" si="161"/>
        <v>-0.87372558026871172</v>
      </c>
      <c r="N366" s="304">
        <f t="shared" ca="1" si="162"/>
        <v>-50.06078820201602</v>
      </c>
      <c r="P366" s="310">
        <f t="shared" ca="1" si="163"/>
        <v>23</v>
      </c>
      <c r="Q366" s="304">
        <f t="shared" ca="1" si="164"/>
        <v>0</v>
      </c>
      <c r="R366" s="306">
        <f t="shared" ca="1" si="165"/>
        <v>0</v>
      </c>
      <c r="S366" s="307">
        <f t="shared" ca="1" si="166"/>
        <v>7.9769999999999968</v>
      </c>
      <c r="T366" s="304">
        <f t="shared" ca="1" si="146"/>
        <v>78.254369999999966</v>
      </c>
      <c r="U366" s="311">
        <f t="shared" ca="1" si="147"/>
        <v>0</v>
      </c>
      <c r="V366" s="306">
        <f t="shared" ca="1" si="148"/>
        <v>1.0781473039737464</v>
      </c>
      <c r="W366" s="304">
        <f t="shared" ca="1" si="149"/>
        <v>4.266800233499823</v>
      </c>
      <c r="Y366" s="314" t="str">
        <f t="shared" ca="1" si="167"/>
        <v/>
      </c>
      <c r="Z366" s="315" t="str">
        <f t="shared" ca="1" si="168"/>
        <v/>
      </c>
      <c r="AA366" s="316" t="str">
        <f t="shared" ca="1" si="169"/>
        <v/>
      </c>
      <c r="AC366" s="310" t="e">
        <f t="shared" ca="1" si="170"/>
        <v>#N/A</v>
      </c>
      <c r="AD366" s="323" t="e">
        <f t="shared" ca="1" si="171"/>
        <v>#N/A</v>
      </c>
      <c r="AE366" s="324" t="e">
        <f t="shared" ca="1" si="150"/>
        <v>#N/A</v>
      </c>
      <c r="AG366" s="306">
        <f t="shared" ca="1" si="172"/>
        <v>6.8896805678243283</v>
      </c>
      <c r="AH366" s="304">
        <f t="shared" ca="1" si="173"/>
        <v>-0.51349057755734884</v>
      </c>
    </row>
    <row r="367" spans="1:34" x14ac:dyDescent="0.2">
      <c r="A367" s="347">
        <f t="shared" ca="1" si="151"/>
        <v>0.1</v>
      </c>
      <c r="B367" s="304">
        <f t="shared" ca="1" si="152"/>
        <v>18.299999999999994</v>
      </c>
      <c r="D367" s="306">
        <f t="shared" ca="1" si="153"/>
        <v>-0.34338435363420367</v>
      </c>
      <c r="E367" s="307">
        <f t="shared" ca="1" si="154"/>
        <v>-9.3998876029869045</v>
      </c>
      <c r="F367" s="304">
        <f t="shared" ca="1" si="155"/>
        <v>9.4061575450928778</v>
      </c>
      <c r="G367" s="306">
        <f t="shared" ca="1" si="156"/>
        <v>22.186634611769392</v>
      </c>
      <c r="H367" s="307">
        <f t="shared" ca="1" si="157"/>
        <v>-27.479044555574994</v>
      </c>
      <c r="I367" s="304">
        <f t="shared" ca="1" si="158"/>
        <v>35.317766705773444</v>
      </c>
      <c r="J367" s="306">
        <f t="shared" ca="1" si="159"/>
        <v>487.48433621194545</v>
      </c>
      <c r="K367" s="307">
        <f t="shared" ca="1" si="160"/>
        <v>1272.5340378181222</v>
      </c>
      <c r="L367" s="304">
        <f t="shared" ca="1" si="145"/>
        <v>1362.7119488203275</v>
      </c>
      <c r="M367" s="306">
        <f t="shared" ca="1" si="161"/>
        <v>-0.89155825863104998</v>
      </c>
      <c r="N367" s="304">
        <f t="shared" ca="1" si="162"/>
        <v>-51.082525409592265</v>
      </c>
      <c r="P367" s="310">
        <f t="shared" ca="1" si="163"/>
        <v>23</v>
      </c>
      <c r="Q367" s="304">
        <f t="shared" ca="1" si="164"/>
        <v>0</v>
      </c>
      <c r="R367" s="306">
        <f t="shared" ca="1" si="165"/>
        <v>0</v>
      </c>
      <c r="S367" s="307">
        <f t="shared" ca="1" si="166"/>
        <v>7.9769999999999968</v>
      </c>
      <c r="T367" s="304">
        <f t="shared" ca="1" si="146"/>
        <v>78.254369999999966</v>
      </c>
      <c r="U367" s="311">
        <f t="shared" ca="1" si="147"/>
        <v>0</v>
      </c>
      <c r="V367" s="306">
        <f t="shared" ca="1" si="148"/>
        <v>1.0784397271565409</v>
      </c>
      <c r="W367" s="304">
        <f t="shared" ca="1" si="149"/>
        <v>4.4434057985605078</v>
      </c>
      <c r="Y367" s="314" t="str">
        <f t="shared" ca="1" si="167"/>
        <v/>
      </c>
      <c r="Z367" s="315" t="str">
        <f t="shared" ca="1" si="168"/>
        <v/>
      </c>
      <c r="AA367" s="316" t="str">
        <f t="shared" ca="1" si="169"/>
        <v/>
      </c>
      <c r="AC367" s="310" t="e">
        <f t="shared" ca="1" si="170"/>
        <v>#N/A</v>
      </c>
      <c r="AD367" s="323" t="e">
        <f t="shared" ca="1" si="171"/>
        <v>#N/A</v>
      </c>
      <c r="AE367" s="324" t="e">
        <f t="shared" ca="1" si="150"/>
        <v>#N/A</v>
      </c>
      <c r="AG367" s="306">
        <f t="shared" ca="1" si="172"/>
        <v>6.9866940331978462</v>
      </c>
      <c r="AH367" s="304">
        <f t="shared" ca="1" si="173"/>
        <v>-0.53488783170362597</v>
      </c>
    </row>
    <row r="368" spans="1:34" x14ac:dyDescent="0.2">
      <c r="A368" s="347">
        <f t="shared" ca="1" si="151"/>
        <v>0.1</v>
      </c>
      <c r="B368" s="304">
        <f t="shared" ca="1" si="152"/>
        <v>18.399999999999995</v>
      </c>
      <c r="D368" s="306">
        <f t="shared" ca="1" si="153"/>
        <v>-0.34992468717252828</v>
      </c>
      <c r="E368" s="307">
        <f t="shared" ca="1" si="154"/>
        <v>-9.3766041182826019</v>
      </c>
      <c r="F368" s="304">
        <f t="shared" ca="1" si="155"/>
        <v>9.3831312512234977</v>
      </c>
      <c r="G368" s="306">
        <f t="shared" ca="1" si="156"/>
        <v>22.15164214305214</v>
      </c>
      <c r="H368" s="307">
        <f t="shared" ca="1" si="157"/>
        <v>-28.416704967403255</v>
      </c>
      <c r="I368" s="304">
        <f t="shared" ca="1" si="158"/>
        <v>36.030603253876897</v>
      </c>
      <c r="J368" s="306">
        <f t="shared" ca="1" si="159"/>
        <v>489.70125004968651</v>
      </c>
      <c r="K368" s="307">
        <f t="shared" ca="1" si="160"/>
        <v>1269.7392503419733</v>
      </c>
      <c r="L368" s="304">
        <f t="shared" ca="1" si="145"/>
        <v>1360.8986289063641</v>
      </c>
      <c r="M368" s="306">
        <f t="shared" ca="1" si="161"/>
        <v>-0.90866301327224419</v>
      </c>
      <c r="N368" s="304">
        <f t="shared" ca="1" si="162"/>
        <v>-52.062555660139502</v>
      </c>
      <c r="P368" s="310">
        <f t="shared" ca="1" si="163"/>
        <v>23</v>
      </c>
      <c r="Q368" s="304">
        <f t="shared" ca="1" si="164"/>
        <v>0</v>
      </c>
      <c r="R368" s="306">
        <f t="shared" ca="1" si="165"/>
        <v>0</v>
      </c>
      <c r="S368" s="307">
        <f t="shared" ca="1" si="166"/>
        <v>7.9769999999999968</v>
      </c>
      <c r="T368" s="304">
        <f t="shared" ca="1" si="146"/>
        <v>78.254369999999966</v>
      </c>
      <c r="U368" s="311">
        <f t="shared" ca="1" si="147"/>
        <v>0</v>
      </c>
      <c r="V368" s="306">
        <f t="shared" ca="1" si="148"/>
        <v>1.0787423930437785</v>
      </c>
      <c r="W368" s="304">
        <f t="shared" ca="1" si="149"/>
        <v>4.6258808874644588</v>
      </c>
      <c r="Y368" s="314" t="str">
        <f t="shared" ca="1" si="167"/>
        <v/>
      </c>
      <c r="Z368" s="315" t="str">
        <f t="shared" ca="1" si="168"/>
        <v/>
      </c>
      <c r="AA368" s="316" t="str">
        <f t="shared" ca="1" si="169"/>
        <v/>
      </c>
      <c r="AC368" s="310" t="e">
        <f t="shared" ca="1" si="170"/>
        <v>#N/A</v>
      </c>
      <c r="AD368" s="323" t="e">
        <f t="shared" ca="1" si="171"/>
        <v>#N/A</v>
      </c>
      <c r="AE368" s="324" t="e">
        <f t="shared" ca="1" si="150"/>
        <v>#N/A</v>
      </c>
      <c r="AG368" s="306">
        <f t="shared" ca="1" si="172"/>
        <v>7.0756589240816874</v>
      </c>
      <c r="AH368" s="304">
        <f t="shared" ca="1" si="173"/>
        <v>-0.55702717795668921</v>
      </c>
    </row>
    <row r="369" spans="1:34" x14ac:dyDescent="0.2">
      <c r="A369" s="347">
        <f t="shared" ca="1" si="151"/>
        <v>0.1</v>
      </c>
      <c r="B369" s="304">
        <f t="shared" ca="1" si="152"/>
        <v>18.499999999999996</v>
      </c>
      <c r="D369" s="306">
        <f t="shared" ca="1" si="153"/>
        <v>-0.356524391348571</v>
      </c>
      <c r="E369" s="307">
        <f t="shared" ca="1" si="154"/>
        <v>-9.3526412011710374</v>
      </c>
      <c r="F369" s="304">
        <f t="shared" ca="1" si="155"/>
        <v>9.3594341217548251</v>
      </c>
      <c r="G369" s="306">
        <f t="shared" ca="1" si="156"/>
        <v>22.115989703917283</v>
      </c>
      <c r="H369" s="307">
        <f t="shared" ca="1" si="157"/>
        <v>-29.351969087520359</v>
      </c>
      <c r="I369" s="304">
        <f t="shared" ca="1" si="158"/>
        <v>36.751259704920678</v>
      </c>
      <c r="J369" s="306">
        <f t="shared" ca="1" si="159"/>
        <v>491.91463164203498</v>
      </c>
      <c r="K369" s="307">
        <f t="shared" ca="1" si="160"/>
        <v>1266.8508166392271</v>
      </c>
      <c r="L369" s="304">
        <f t="shared" ca="1" si="145"/>
        <v>1359.0036778622034</v>
      </c>
      <c r="M369" s="306">
        <f t="shared" ca="1" si="161"/>
        <v>-0.92507460356965188</v>
      </c>
      <c r="N369" s="304">
        <f t="shared" ca="1" si="162"/>
        <v>-53.002870519278808</v>
      </c>
      <c r="P369" s="310">
        <f t="shared" ca="1" si="163"/>
        <v>23</v>
      </c>
      <c r="Q369" s="304">
        <f t="shared" ca="1" si="164"/>
        <v>0</v>
      </c>
      <c r="R369" s="306">
        <f t="shared" ca="1" si="165"/>
        <v>0</v>
      </c>
      <c r="S369" s="307">
        <f t="shared" ca="1" si="166"/>
        <v>7.9769999999999968</v>
      </c>
      <c r="T369" s="304">
        <f t="shared" ca="1" si="146"/>
        <v>78.254369999999966</v>
      </c>
      <c r="U369" s="311">
        <f t="shared" ca="1" si="147"/>
        <v>0</v>
      </c>
      <c r="V369" s="306">
        <f t="shared" ca="1" si="148"/>
        <v>1.0790552840885264</v>
      </c>
      <c r="W369" s="304">
        <f t="shared" ca="1" si="149"/>
        <v>4.8141740548597802</v>
      </c>
      <c r="Y369" s="314" t="str">
        <f t="shared" ca="1" si="167"/>
        <v/>
      </c>
      <c r="Z369" s="315" t="str">
        <f t="shared" ca="1" si="168"/>
        <v/>
      </c>
      <c r="AA369" s="316" t="str">
        <f t="shared" ca="1" si="169"/>
        <v/>
      </c>
      <c r="AC369" s="310" t="e">
        <f t="shared" ca="1" si="170"/>
        <v>#N/A</v>
      </c>
      <c r="AD369" s="323" t="e">
        <f t="shared" ca="1" si="171"/>
        <v>#N/A</v>
      </c>
      <c r="AE369" s="324" t="e">
        <f t="shared" ca="1" si="150"/>
        <v>#N/A</v>
      </c>
      <c r="AG369" s="306">
        <f t="shared" ca="1" si="172"/>
        <v>7.1570726454458438</v>
      </c>
      <c r="AH369" s="304">
        <f t="shared" ca="1" si="173"/>
        <v>-0.57990233013218762</v>
      </c>
    </row>
    <row r="370" spans="1:34" x14ac:dyDescent="0.2">
      <c r="A370" s="347">
        <f t="shared" ca="1" si="151"/>
        <v>0.1</v>
      </c>
      <c r="B370" s="304">
        <f t="shared" ca="1" si="152"/>
        <v>18.599999999999998</v>
      </c>
      <c r="D370" s="306">
        <f t="shared" ca="1" si="153"/>
        <v>-0.36317533453731582</v>
      </c>
      <c r="E370" s="307">
        <f t="shared" ca="1" si="154"/>
        <v>-9.3279998121087466</v>
      </c>
      <c r="F370" s="304">
        <f t="shared" ca="1" si="155"/>
        <v>9.3350670494815997</v>
      </c>
      <c r="G370" s="306">
        <f t="shared" ca="1" si="156"/>
        <v>22.079672170463549</v>
      </c>
      <c r="H370" s="307">
        <f t="shared" ca="1" si="157"/>
        <v>-30.284769068731233</v>
      </c>
      <c r="I370" s="304">
        <f t="shared" ca="1" si="158"/>
        <v>37.479049623776781</v>
      </c>
      <c r="J370" s="306">
        <f t="shared" ca="1" si="159"/>
        <v>494.12441473575404</v>
      </c>
      <c r="K370" s="307">
        <f t="shared" ca="1" si="160"/>
        <v>1263.8689797314146</v>
      </c>
      <c r="L370" s="304">
        <f t="shared" ca="1" si="145"/>
        <v>1357.0275366274916</v>
      </c>
      <c r="M370" s="306">
        <f t="shared" ca="1" si="161"/>
        <v>-0.94082648908817479</v>
      </c>
      <c r="N370" s="304">
        <f t="shared" ca="1" si="162"/>
        <v>-53.905387078863413</v>
      </c>
      <c r="P370" s="310">
        <f t="shared" ca="1" si="163"/>
        <v>23</v>
      </c>
      <c r="Q370" s="304">
        <f t="shared" ca="1" si="164"/>
        <v>0</v>
      </c>
      <c r="R370" s="306">
        <f t="shared" ca="1" si="165"/>
        <v>0</v>
      </c>
      <c r="S370" s="307">
        <f t="shared" ca="1" si="166"/>
        <v>7.9769999999999968</v>
      </c>
      <c r="T370" s="304">
        <f t="shared" ca="1" si="146"/>
        <v>78.254369999999966</v>
      </c>
      <c r="U370" s="311">
        <f t="shared" ca="1" si="147"/>
        <v>0</v>
      </c>
      <c r="V370" s="306">
        <f t="shared" ca="1" si="148"/>
        <v>1.0793783822551997</v>
      </c>
      <c r="W370" s="304">
        <f t="shared" ca="1" si="149"/>
        <v>5.0082325656964697</v>
      </c>
      <c r="Y370" s="314" t="str">
        <f t="shared" ca="1" si="167"/>
        <v/>
      </c>
      <c r="Z370" s="315" t="str">
        <f t="shared" ca="1" si="168"/>
        <v/>
      </c>
      <c r="AA370" s="316" t="str">
        <f t="shared" ca="1" si="169"/>
        <v/>
      </c>
      <c r="AC370" s="310" t="e">
        <f t="shared" ca="1" si="170"/>
        <v>#N/A</v>
      </c>
      <c r="AD370" s="323" t="e">
        <f t="shared" ca="1" si="171"/>
        <v>#N/A</v>
      </c>
      <c r="AE370" s="324" t="e">
        <f t="shared" ca="1" si="150"/>
        <v>#N/A</v>
      </c>
      <c r="AG370" s="306">
        <f t="shared" ca="1" si="172"/>
        <v>7.2314032854357988</v>
      </c>
      <c r="AH370" s="304">
        <f t="shared" ca="1" si="173"/>
        <v>-0.6035068390196543</v>
      </c>
    </row>
    <row r="371" spans="1:34" x14ac:dyDescent="0.2">
      <c r="A371" s="347">
        <f t="shared" ca="1" si="151"/>
        <v>0.1</v>
      </c>
      <c r="B371" s="304">
        <f t="shared" ca="1" si="152"/>
        <v>18.7</v>
      </c>
      <c r="D371" s="306">
        <f t="shared" ca="1" si="153"/>
        <v>-0.3698698634620155</v>
      </c>
      <c r="E371" s="307">
        <f t="shared" ca="1" si="154"/>
        <v>-9.3026816252546229</v>
      </c>
      <c r="F371" s="304">
        <f t="shared" ca="1" si="155"/>
        <v>9.3100316399434124</v>
      </c>
      <c r="G371" s="306">
        <f t="shared" ca="1" si="156"/>
        <v>22.042685184117349</v>
      </c>
      <c r="H371" s="307">
        <f t="shared" ca="1" si="157"/>
        <v>-31.215037231256694</v>
      </c>
      <c r="I371" s="304">
        <f t="shared" ca="1" si="158"/>
        <v>38.213329081288485</v>
      </c>
      <c r="J371" s="306">
        <f t="shared" ca="1" si="159"/>
        <v>496.33053260348311</v>
      </c>
      <c r="K371" s="307">
        <f t="shared" ca="1" si="160"/>
        <v>1260.7939894164151</v>
      </c>
      <c r="L371" s="304">
        <f t="shared" ca="1" si="145"/>
        <v>1354.97065700443</v>
      </c>
      <c r="M371" s="306">
        <f t="shared" ca="1" si="161"/>
        <v>-0.95595077021591301</v>
      </c>
      <c r="N371" s="304">
        <f t="shared" ca="1" si="162"/>
        <v>-54.771944555652176</v>
      </c>
      <c r="P371" s="310">
        <f t="shared" ca="1" si="163"/>
        <v>23</v>
      </c>
      <c r="Q371" s="304">
        <f t="shared" ca="1" si="164"/>
        <v>0</v>
      </c>
      <c r="R371" s="306">
        <f t="shared" ca="1" si="165"/>
        <v>0</v>
      </c>
      <c r="S371" s="307">
        <f t="shared" ca="1" si="166"/>
        <v>7.9769999999999968</v>
      </c>
      <c r="T371" s="304">
        <f t="shared" ca="1" si="146"/>
        <v>78.254369999999966</v>
      </c>
      <c r="U371" s="311">
        <f t="shared" ca="1" si="147"/>
        <v>0</v>
      </c>
      <c r="V371" s="306">
        <f t="shared" ca="1" si="148"/>
        <v>1.0797116690181989</v>
      </c>
      <c r="W371" s="304">
        <f t="shared" ca="1" si="149"/>
        <v>5.2080024082290084</v>
      </c>
      <c r="Y371" s="314" t="str">
        <f t="shared" ca="1" si="167"/>
        <v/>
      </c>
      <c r="Z371" s="315" t="str">
        <f t="shared" ca="1" si="168"/>
        <v/>
      </c>
      <c r="AA371" s="316" t="str">
        <f t="shared" ca="1" si="169"/>
        <v/>
      </c>
      <c r="AC371" s="310" t="e">
        <f t="shared" ca="1" si="170"/>
        <v>#N/A</v>
      </c>
      <c r="AD371" s="323" t="e">
        <f t="shared" ca="1" si="171"/>
        <v>#N/A</v>
      </c>
      <c r="AE371" s="324" t="e">
        <f t="shared" ca="1" si="150"/>
        <v>#N/A</v>
      </c>
      <c r="AG371" s="306">
        <f t="shared" ca="1" si="172"/>
        <v>7.2990900824828095</v>
      </c>
      <c r="AH371" s="304">
        <f t="shared" ca="1" si="173"/>
        <v>-0.62783409373153709</v>
      </c>
    </row>
    <row r="372" spans="1:34" x14ac:dyDescent="0.2">
      <c r="A372" s="347">
        <f t="shared" ca="1" si="151"/>
        <v>0.1</v>
      </c>
      <c r="B372" s="304">
        <f t="shared" ca="1" si="152"/>
        <v>18.8</v>
      </c>
      <c r="D372" s="306">
        <f t="shared" ca="1" si="153"/>
        <v>-0.37660077381559243</v>
      </c>
      <c r="E372" s="307">
        <f t="shared" ca="1" si="154"/>
        <v>-9.2766889683456455</v>
      </c>
      <c r="F372" s="304">
        <f t="shared" ca="1" si="155"/>
        <v>9.2843301512960164</v>
      </c>
      <c r="G372" s="306">
        <f t="shared" ca="1" si="156"/>
        <v>22.00502510673579</v>
      </c>
      <c r="H372" s="307">
        <f t="shared" ca="1" si="157"/>
        <v>-32.142706128091262</v>
      </c>
      <c r="I372" s="304">
        <f t="shared" ca="1" si="158"/>
        <v>38.95349390215091</v>
      </c>
      <c r="J372" s="306">
        <f t="shared" ca="1" si="159"/>
        <v>498.53291811802575</v>
      </c>
      <c r="K372" s="307">
        <f t="shared" ca="1" si="160"/>
        <v>1257.6261022484478</v>
      </c>
      <c r="L372" s="304">
        <f t="shared" ca="1" si="145"/>
        <v>1352.8335017672712</v>
      </c>
      <c r="M372" s="306">
        <f t="shared" ca="1" si="161"/>
        <v>-0.97047815667039572</v>
      </c>
      <c r="N372" s="304">
        <f t="shared" ca="1" si="162"/>
        <v>-55.604302486849555</v>
      </c>
      <c r="P372" s="310">
        <f t="shared" ca="1" si="163"/>
        <v>23</v>
      </c>
      <c r="Q372" s="304">
        <f t="shared" ca="1" si="164"/>
        <v>0</v>
      </c>
      <c r="R372" s="306">
        <f t="shared" ca="1" si="165"/>
        <v>0</v>
      </c>
      <c r="S372" s="307">
        <f t="shared" ca="1" si="166"/>
        <v>7.9769999999999968</v>
      </c>
      <c r="T372" s="304">
        <f t="shared" ca="1" si="146"/>
        <v>78.254369999999966</v>
      </c>
      <c r="U372" s="311">
        <f t="shared" ca="1" si="147"/>
        <v>0</v>
      </c>
      <c r="V372" s="306">
        <f t="shared" ca="1" si="148"/>
        <v>1.080055125361209</v>
      </c>
      <c r="W372" s="304">
        <f t="shared" ca="1" si="149"/>
        <v>5.4134283090708069</v>
      </c>
      <c r="Y372" s="314" t="str">
        <f t="shared" ca="1" si="167"/>
        <v/>
      </c>
      <c r="Z372" s="315" t="str">
        <f t="shared" ca="1" si="168"/>
        <v/>
      </c>
      <c r="AA372" s="316" t="str">
        <f t="shared" ca="1" si="169"/>
        <v/>
      </c>
      <c r="AC372" s="310" t="e">
        <f t="shared" ca="1" si="170"/>
        <v>#N/A</v>
      </c>
      <c r="AD372" s="323" t="e">
        <f t="shared" ca="1" si="171"/>
        <v>#N/A</v>
      </c>
      <c r="AE372" s="324" t="e">
        <f t="shared" ca="1" si="150"/>
        <v>#N/A</v>
      </c>
      <c r="AG372" s="306">
        <f t="shared" ca="1" si="172"/>
        <v>7.3605442392642093</v>
      </c>
      <c r="AH372" s="304">
        <f t="shared" ca="1" si="173"/>
        <v>-0.65287732333320925</v>
      </c>
    </row>
    <row r="373" spans="1:34" x14ac:dyDescent="0.2">
      <c r="A373" s="347">
        <f t="shared" ca="1" si="151"/>
        <v>0.1</v>
      </c>
      <c r="B373" s="304">
        <f t="shared" ca="1" si="152"/>
        <v>18.900000000000002</v>
      </c>
      <c r="D373" s="306">
        <f t="shared" ca="1" si="153"/>
        <v>-0.38336128193644575</v>
      </c>
      <c r="E373" s="307">
        <f t="shared" ca="1" si="154"/>
        <v>-9.2500247685970773</v>
      </c>
      <c r="F373" s="304">
        <f t="shared" ca="1" si="155"/>
        <v>9.2579654402113292</v>
      </c>
      <c r="G373" s="306">
        <f t="shared" ca="1" si="156"/>
        <v>21.966688978542145</v>
      </c>
      <c r="H373" s="307">
        <f t="shared" ca="1" si="157"/>
        <v>-33.067708604950973</v>
      </c>
      <c r="I373" s="304">
        <f t="shared" ca="1" si="158"/>
        <v>39.698977027902792</v>
      </c>
      <c r="J373" s="306">
        <f t="shared" ca="1" si="159"/>
        <v>500.73150382228965</v>
      </c>
      <c r="K373" s="307">
        <f t="shared" ca="1" si="160"/>
        <v>1254.3655815117957</v>
      </c>
      <c r="L373" s="304">
        <f t="shared" ca="1" si="145"/>
        <v>1350.6165447681874</v>
      </c>
      <c r="M373" s="306">
        <f t="shared" ca="1" si="161"/>
        <v>-0.98443795833749115</v>
      </c>
      <c r="N373" s="304">
        <f t="shared" ca="1" si="162"/>
        <v>-56.404140205213814</v>
      </c>
      <c r="P373" s="310">
        <f t="shared" ca="1" si="163"/>
        <v>23</v>
      </c>
      <c r="Q373" s="304">
        <f t="shared" ca="1" si="164"/>
        <v>0</v>
      </c>
      <c r="R373" s="306">
        <f t="shared" ca="1" si="165"/>
        <v>0</v>
      </c>
      <c r="S373" s="307">
        <f t="shared" ca="1" si="166"/>
        <v>7.9769999999999968</v>
      </c>
      <c r="T373" s="304">
        <f t="shared" ca="1" si="146"/>
        <v>78.254369999999966</v>
      </c>
      <c r="U373" s="311">
        <f t="shared" ca="1" si="147"/>
        <v>0</v>
      </c>
      <c r="V373" s="306">
        <f t="shared" ca="1" si="148"/>
        <v>1.0804087317771021</v>
      </c>
      <c r="W373" s="304">
        <f t="shared" ca="1" si="149"/>
        <v>5.6244537501285246</v>
      </c>
      <c r="Y373" s="314" t="str">
        <f t="shared" ca="1" si="167"/>
        <v/>
      </c>
      <c r="Z373" s="315" t="str">
        <f t="shared" ca="1" si="168"/>
        <v/>
      </c>
      <c r="AA373" s="316" t="str">
        <f t="shared" ca="1" si="169"/>
        <v/>
      </c>
      <c r="AC373" s="310" t="e">
        <f t="shared" ca="1" si="170"/>
        <v>#N/A</v>
      </c>
      <c r="AD373" s="323" t="e">
        <f t="shared" ca="1" si="171"/>
        <v>#N/A</v>
      </c>
      <c r="AE373" s="324" t="e">
        <f t="shared" ca="1" si="150"/>
        <v>#N/A</v>
      </c>
      <c r="AG373" s="306">
        <f t="shared" ca="1" si="172"/>
        <v>7.4161499840369345</v>
      </c>
      <c r="AH373" s="304">
        <f t="shared" ca="1" si="173"/>
        <v>-0.67862959873020046</v>
      </c>
    </row>
    <row r="374" spans="1:34" x14ac:dyDescent="0.2">
      <c r="A374" s="347">
        <f t="shared" ca="1" si="151"/>
        <v>0.1</v>
      </c>
      <c r="B374" s="304">
        <f t="shared" ca="1" si="152"/>
        <v>19.000000000000004</v>
      </c>
      <c r="D374" s="306">
        <f t="shared" ca="1" si="153"/>
        <v>-0.39014499773552197</v>
      </c>
      <c r="E374" s="307">
        <f t="shared" ca="1" si="154"/>
        <v>-9.2226925040273553</v>
      </c>
      <c r="F374" s="304">
        <f t="shared" ca="1" si="155"/>
        <v>9.2309409132060001</v>
      </c>
      <c r="G374" s="306">
        <f t="shared" ca="1" si="156"/>
        <v>21.927674478768594</v>
      </c>
      <c r="H374" s="307">
        <f t="shared" ca="1" si="157"/>
        <v>-33.989977855353708</v>
      </c>
      <c r="I374" s="304">
        <f t="shared" ca="1" si="158"/>
        <v>40.449246008476784</v>
      </c>
      <c r="J374" s="306">
        <f t="shared" ca="1" si="159"/>
        <v>502.92622199515517</v>
      </c>
      <c r="K374" s="307">
        <f t="shared" ca="1" si="160"/>
        <v>1251.0126971887805</v>
      </c>
      <c r="L374" s="304">
        <f t="shared" ca="1" si="145"/>
        <v>1348.3202710401811</v>
      </c>
      <c r="M374" s="306">
        <f t="shared" ca="1" si="161"/>
        <v>-0.99785809375112366</v>
      </c>
      <c r="N374" s="304">
        <f t="shared" ca="1" si="162"/>
        <v>-57.17305732490901</v>
      </c>
      <c r="P374" s="310">
        <f t="shared" ca="1" si="163"/>
        <v>23</v>
      </c>
      <c r="Q374" s="304">
        <f t="shared" ca="1" si="164"/>
        <v>0</v>
      </c>
      <c r="R374" s="306">
        <f t="shared" ca="1" si="165"/>
        <v>0</v>
      </c>
      <c r="S374" s="307">
        <f t="shared" ca="1" si="166"/>
        <v>7.9769999999999968</v>
      </c>
      <c r="T374" s="304">
        <f t="shared" ca="1" si="146"/>
        <v>78.254369999999966</v>
      </c>
      <c r="U374" s="311">
        <f t="shared" ca="1" si="147"/>
        <v>0</v>
      </c>
      <c r="V374" s="306">
        <f t="shared" ca="1" si="148"/>
        <v>1.0807724682683961</v>
      </c>
      <c r="W374" s="304">
        <f t="shared" ca="1" si="149"/>
        <v>5.8410209872598502</v>
      </c>
      <c r="Y374" s="314" t="str">
        <f t="shared" ca="1" si="167"/>
        <v/>
      </c>
      <c r="Z374" s="315" t="str">
        <f t="shared" ca="1" si="168"/>
        <v/>
      </c>
      <c r="AA374" s="316" t="str">
        <f t="shared" ca="1" si="169"/>
        <v/>
      </c>
      <c r="AC374" s="310">
        <f t="shared" ca="1" si="170"/>
        <v>19.000000000000004</v>
      </c>
      <c r="AD374" s="323">
        <f t="shared" ca="1" si="171"/>
        <v>502.92622199515517</v>
      </c>
      <c r="AE374" s="324" t="e">
        <f t="shared" ca="1" si="150"/>
        <v>#N/A</v>
      </c>
      <c r="AG374" s="306">
        <f t="shared" ca="1" si="172"/>
        <v>7.466265799396349</v>
      </c>
      <c r="AH374" s="304">
        <f t="shared" ca="1" si="173"/>
        <v>-0.70508383479109027</v>
      </c>
    </row>
    <row r="375" spans="1:34" x14ac:dyDescent="0.2">
      <c r="A375" s="347">
        <f t="shared" ca="1" si="151"/>
        <v>0.1</v>
      </c>
      <c r="B375" s="304">
        <f t="shared" ca="1" si="152"/>
        <v>19.100000000000005</v>
      </c>
      <c r="D375" s="306">
        <f t="shared" ca="1" si="153"/>
        <v>-0.39694589900003108</v>
      </c>
      <c r="E375" s="307">
        <f t="shared" ca="1" si="154"/>
        <v>-9.1946961596475596</v>
      </c>
      <c r="F375" s="304">
        <f t="shared" ca="1" si="155"/>
        <v>9.2032604828381626</v>
      </c>
      <c r="G375" s="306">
        <f t="shared" ca="1" si="156"/>
        <v>21.887979888868593</v>
      </c>
      <c r="H375" s="307">
        <f t="shared" ca="1" si="157"/>
        <v>-34.909447471318465</v>
      </c>
      <c r="I375" s="304">
        <f t="shared" ca="1" si="158"/>
        <v>41.203800630139192</v>
      </c>
      <c r="J375" s="306">
        <f t="shared" ca="1" si="159"/>
        <v>505.11700471353703</v>
      </c>
      <c r="K375" s="307">
        <f t="shared" ca="1" si="160"/>
        <v>1247.5677259224469</v>
      </c>
      <c r="L375" s="304">
        <f t="shared" ca="1" si="145"/>
        <v>1345.9451768976628</v>
      </c>
      <c r="M375" s="306">
        <f t="shared" ca="1" si="161"/>
        <v>-1.0107651122764574</v>
      </c>
      <c r="N375" s="304">
        <f t="shared" ca="1" si="162"/>
        <v>-57.912575012507801</v>
      </c>
      <c r="P375" s="310">
        <f t="shared" ca="1" si="163"/>
        <v>23</v>
      </c>
      <c r="Q375" s="304">
        <f t="shared" ca="1" si="164"/>
        <v>0</v>
      </c>
      <c r="R375" s="306">
        <f t="shared" ca="1" si="165"/>
        <v>0</v>
      </c>
      <c r="S375" s="307">
        <f t="shared" ca="1" si="166"/>
        <v>7.9769999999999968</v>
      </c>
      <c r="T375" s="304">
        <f t="shared" ca="1" si="146"/>
        <v>78.254369999999966</v>
      </c>
      <c r="U375" s="311">
        <f t="shared" ca="1" si="147"/>
        <v>0</v>
      </c>
      <c r="V375" s="306">
        <f t="shared" ca="1" si="148"/>
        <v>1.0811463143482087</v>
      </c>
      <c r="W375" s="304">
        <f t="shared" ca="1" si="149"/>
        <v>6.0630710705123878</v>
      </c>
      <c r="Y375" s="314" t="str">
        <f t="shared" ca="1" si="167"/>
        <v/>
      </c>
      <c r="Z375" s="315" t="str">
        <f t="shared" ca="1" si="168"/>
        <v/>
      </c>
      <c r="AA375" s="316" t="str">
        <f t="shared" ca="1" si="169"/>
        <v/>
      </c>
      <c r="AC375" s="310" t="e">
        <f t="shared" ca="1" si="170"/>
        <v>#N/A</v>
      </c>
      <c r="AD375" s="323" t="e">
        <f t="shared" ca="1" si="171"/>
        <v>#N/A</v>
      </c>
      <c r="AE375" s="324" t="e">
        <f t="shared" ca="1" si="150"/>
        <v>#N/A</v>
      </c>
      <c r="AG375" s="306">
        <f t="shared" ca="1" si="172"/>
        <v>7.5112257551228616</v>
      </c>
      <c r="AH375" s="304">
        <f t="shared" ca="1" si="173"/>
        <v>-0.73223279268645514</v>
      </c>
    </row>
    <row r="376" spans="1:34" x14ac:dyDescent="0.2">
      <c r="A376" s="347">
        <f t="shared" ca="1" si="151"/>
        <v>0.1</v>
      </c>
      <c r="B376" s="304">
        <f t="shared" ca="1" si="152"/>
        <v>19.200000000000006</v>
      </c>
      <c r="D376" s="306">
        <f t="shared" ca="1" si="153"/>
        <v>-0.4037583071432167</v>
      </c>
      <c r="E376" s="307">
        <f t="shared" ca="1" si="154"/>
        <v>-9.166040187998675</v>
      </c>
      <c r="F376" s="304">
        <f t="shared" ca="1" si="155"/>
        <v>9.1749285282553537</v>
      </c>
      <c r="G376" s="306">
        <f t="shared" ca="1" si="156"/>
        <v>21.847604058154271</v>
      </c>
      <c r="H376" s="307">
        <f t="shared" ca="1" si="157"/>
        <v>-35.826051490118331</v>
      </c>
      <c r="I376" s="304">
        <f t="shared" ca="1" si="158"/>
        <v>41.962170683301032</v>
      </c>
      <c r="J376" s="306">
        <f t="shared" ca="1" si="159"/>
        <v>507.30378391088817</v>
      </c>
      <c r="K376" s="307">
        <f t="shared" ca="1" si="160"/>
        <v>1244.0309509743752</v>
      </c>
      <c r="L376" s="304">
        <f t="shared" ca="1" si="145"/>
        <v>1343.4917700352739</v>
      </c>
      <c r="M376" s="306">
        <f t="shared" ca="1" si="161"/>
        <v>-1.023184226721616</v>
      </c>
      <c r="N376" s="304">
        <f t="shared" ca="1" si="162"/>
        <v>-58.624137855505346</v>
      </c>
      <c r="P376" s="310">
        <f t="shared" ca="1" si="163"/>
        <v>23</v>
      </c>
      <c r="Q376" s="304">
        <f t="shared" ca="1" si="164"/>
        <v>0</v>
      </c>
      <c r="R376" s="306">
        <f t="shared" ca="1" si="165"/>
        <v>0</v>
      </c>
      <c r="S376" s="307">
        <f t="shared" ca="1" si="166"/>
        <v>7.9769999999999968</v>
      </c>
      <c r="T376" s="304">
        <f t="shared" ca="1" si="146"/>
        <v>78.254369999999966</v>
      </c>
      <c r="U376" s="311">
        <f t="shared" ca="1" si="147"/>
        <v>0</v>
      </c>
      <c r="V376" s="306">
        <f t="shared" ca="1" si="148"/>
        <v>1.0815302490416763</v>
      </c>
      <c r="W376" s="304">
        <f t="shared" ca="1" si="149"/>
        <v>6.2905438658139632</v>
      </c>
      <c r="Y376" s="314" t="str">
        <f t="shared" ca="1" si="167"/>
        <v/>
      </c>
      <c r="Z376" s="315" t="str">
        <f t="shared" ca="1" si="168"/>
        <v/>
      </c>
      <c r="AA376" s="316" t="str">
        <f t="shared" ca="1" si="169"/>
        <v/>
      </c>
      <c r="AC376" s="310" t="e">
        <f t="shared" ca="1" si="170"/>
        <v>#N/A</v>
      </c>
      <c r="AD376" s="323" t="e">
        <f t="shared" ca="1" si="171"/>
        <v>#N/A</v>
      </c>
      <c r="AE376" s="324" t="e">
        <f t="shared" ca="1" si="150"/>
        <v>#N/A</v>
      </c>
      <c r="AG376" s="306">
        <f t="shared" ca="1" si="172"/>
        <v>7.5513408956898038</v>
      </c>
      <c r="AH376" s="304">
        <f t="shared" ca="1" si="173"/>
        <v>-0.76006908242602356</v>
      </c>
    </row>
    <row r="377" spans="1:34" x14ac:dyDescent="0.2">
      <c r="A377" s="347">
        <f t="shared" ca="1" si="151"/>
        <v>0.1</v>
      </c>
      <c r="B377" s="304">
        <f t="shared" ca="1" si="152"/>
        <v>19.300000000000008</v>
      </c>
      <c r="D377" s="306">
        <f t="shared" ca="1" si="153"/>
        <v>-0.4105768644264538</v>
      </c>
      <c r="E377" s="307">
        <f t="shared" ca="1" si="154"/>
        <v>-9.1367294735642446</v>
      </c>
      <c r="F377" s="304">
        <f t="shared" ca="1" si="155"/>
        <v>9.1459498596209148</v>
      </c>
      <c r="G377" s="306">
        <f t="shared" ca="1" si="156"/>
        <v>21.806546371711626</v>
      </c>
      <c r="H377" s="307">
        <f t="shared" ca="1" si="157"/>
        <v>-36.739724437474756</v>
      </c>
      <c r="I377" s="304">
        <f t="shared" ca="1" si="158"/>
        <v>42.723913870374624</v>
      </c>
      <c r="J377" s="306">
        <f t="shared" ca="1" si="159"/>
        <v>509.48649143238146</v>
      </c>
      <c r="K377" s="307">
        <f t="shared" ca="1" si="160"/>
        <v>1240.4026621779956</v>
      </c>
      <c r="L377" s="304">
        <f t="shared" ca="1" si="145"/>
        <v>1340.9605696254969</v>
      </c>
      <c r="M377" s="306">
        <f t="shared" ca="1" si="161"/>
        <v>-1.0351393536770532</v>
      </c>
      <c r="N377" s="304">
        <f t="shared" ca="1" si="162"/>
        <v>-59.309116173594987</v>
      </c>
      <c r="P377" s="310">
        <f t="shared" ca="1" si="163"/>
        <v>23</v>
      </c>
      <c r="Q377" s="304">
        <f t="shared" ca="1" si="164"/>
        <v>0</v>
      </c>
      <c r="R377" s="306">
        <f t="shared" ca="1" si="165"/>
        <v>0</v>
      </c>
      <c r="S377" s="307">
        <f t="shared" ca="1" si="166"/>
        <v>7.9769999999999968</v>
      </c>
      <c r="T377" s="304">
        <f t="shared" ca="1" si="146"/>
        <v>78.254369999999966</v>
      </c>
      <c r="U377" s="311">
        <f t="shared" ca="1" si="147"/>
        <v>0</v>
      </c>
      <c r="V377" s="306">
        <f t="shared" ca="1" si="148"/>
        <v>1.0819242508877904</v>
      </c>
      <c r="W377" s="304">
        <f t="shared" ca="1" si="149"/>
        <v>6.5233780779957877</v>
      </c>
      <c r="Y377" s="314" t="str">
        <f t="shared" ca="1" si="167"/>
        <v/>
      </c>
      <c r="Z377" s="315" t="str">
        <f t="shared" ca="1" si="168"/>
        <v/>
      </c>
      <c r="AA377" s="316" t="str">
        <f t="shared" ca="1" si="169"/>
        <v/>
      </c>
      <c r="AC377" s="310" t="e">
        <f t="shared" ca="1" si="170"/>
        <v>#N/A</v>
      </c>
      <c r="AD377" s="323" t="e">
        <f t="shared" ca="1" si="171"/>
        <v>#N/A</v>
      </c>
      <c r="AE377" s="324" t="e">
        <f t="shared" ca="1" si="150"/>
        <v>#N/A</v>
      </c>
      <c r="AG377" s="306">
        <f t="shared" ca="1" si="172"/>
        <v>7.5869006445002647</v>
      </c>
      <c r="AH377" s="304">
        <f t="shared" ca="1" si="173"/>
        <v>-0.7885851655777818</v>
      </c>
    </row>
    <row r="378" spans="1:34" x14ac:dyDescent="0.2">
      <c r="A378" s="347">
        <f t="shared" ca="1" si="151"/>
        <v>0.1</v>
      </c>
      <c r="B378" s="304">
        <f t="shared" ca="1" si="152"/>
        <v>19.400000000000009</v>
      </c>
      <c r="D378" s="306">
        <f t="shared" ca="1" si="153"/>
        <v>-0.41739651264732819</v>
      </c>
      <c r="E378" s="307">
        <f t="shared" ca="1" si="154"/>
        <v>-9.1067693006298782</v>
      </c>
      <c r="F378" s="304">
        <f t="shared" ca="1" si="155"/>
        <v>9.1163296859901326</v>
      </c>
      <c r="G378" s="306">
        <f t="shared" ca="1" si="156"/>
        <v>21.764806720446892</v>
      </c>
      <c r="H378" s="307">
        <f t="shared" ca="1" si="157"/>
        <v>-37.650401367537746</v>
      </c>
      <c r="I378" s="304">
        <f t="shared" ca="1" si="158"/>
        <v>43.488613851387562</v>
      </c>
      <c r="J378" s="306">
        <f t="shared" ca="1" si="159"/>
        <v>511.6650590869894</v>
      </c>
      <c r="K378" s="307">
        <f t="shared" ca="1" si="160"/>
        <v>1236.683155887745</v>
      </c>
      <c r="L378" s="304">
        <f t="shared" ca="1" si="145"/>
        <v>1338.3521064155593</v>
      </c>
      <c r="M378" s="306">
        <f t="shared" ca="1" si="161"/>
        <v>-1.0466531593737931</v>
      </c>
      <c r="N378" s="304">
        <f t="shared" ca="1" si="162"/>
        <v>-59.968808646151864</v>
      </c>
      <c r="P378" s="310">
        <f t="shared" ca="1" si="163"/>
        <v>23</v>
      </c>
      <c r="Q378" s="304">
        <f t="shared" ca="1" si="164"/>
        <v>0</v>
      </c>
      <c r="R378" s="306">
        <f t="shared" ca="1" si="165"/>
        <v>0</v>
      </c>
      <c r="S378" s="307">
        <f t="shared" ca="1" si="166"/>
        <v>7.9769999999999968</v>
      </c>
      <c r="T378" s="304">
        <f t="shared" ca="1" si="146"/>
        <v>78.254369999999966</v>
      </c>
      <c r="U378" s="311">
        <f t="shared" ca="1" si="147"/>
        <v>0</v>
      </c>
      <c r="V378" s="306">
        <f t="shared" ca="1" si="148"/>
        <v>1.0823282979416229</v>
      </c>
      <c r="W378" s="304">
        <f t="shared" ca="1" si="149"/>
        <v>6.761511275039978</v>
      </c>
      <c r="Y378" s="314" t="str">
        <f t="shared" ca="1" si="167"/>
        <v/>
      </c>
      <c r="Z378" s="315" t="str">
        <f t="shared" ca="1" si="168"/>
        <v/>
      </c>
      <c r="AA378" s="316" t="str">
        <f t="shared" ca="1" si="169"/>
        <v/>
      </c>
      <c r="AC378" s="310" t="e">
        <f t="shared" ca="1" si="170"/>
        <v>#N/A</v>
      </c>
      <c r="AD378" s="323" t="e">
        <f t="shared" ca="1" si="171"/>
        <v>#N/A</v>
      </c>
      <c r="AE378" s="324" t="e">
        <f t="shared" ca="1" si="150"/>
        <v>#N/A</v>
      </c>
      <c r="AG378" s="306">
        <f t="shared" ca="1" si="172"/>
        <v>7.6181741963030447</v>
      </c>
      <c r="AH378" s="304">
        <f t="shared" ca="1" si="173"/>
        <v>-0.81777335815416707</v>
      </c>
    </row>
    <row r="379" spans="1:34" x14ac:dyDescent="0.2">
      <c r="A379" s="347">
        <f t="shared" ca="1" si="151"/>
        <v>0.1</v>
      </c>
      <c r="B379" s="304">
        <f t="shared" ca="1" si="152"/>
        <v>19.500000000000011</v>
      </c>
      <c r="D379" s="306">
        <f t="shared" ca="1" si="153"/>
        <v>-0.42421247326325878</v>
      </c>
      <c r="E379" s="307">
        <f t="shared" ca="1" si="154"/>
        <v>-9.0761653242032736</v>
      </c>
      <c r="F379" s="304">
        <f t="shared" ca="1" si="155"/>
        <v>9.0860735862495652</v>
      </c>
      <c r="G379" s="306">
        <f t="shared" ca="1" si="156"/>
        <v>21.722385473120564</v>
      </c>
      <c r="H379" s="307">
        <f t="shared" ca="1" si="157"/>
        <v>-38.558017899958074</v>
      </c>
      <c r="I379" s="304">
        <f t="shared" ca="1" si="158"/>
        <v>44.255878423282105</v>
      </c>
      <c r="J379" s="306">
        <f t="shared" ca="1" si="159"/>
        <v>513.83941869666774</v>
      </c>
      <c r="K379" s="307">
        <f t="shared" ca="1" si="160"/>
        <v>1232.8727349243702</v>
      </c>
      <c r="L379" s="304">
        <f t="shared" ca="1" si="145"/>
        <v>1335.6669228241096</v>
      </c>
      <c r="M379" s="306">
        <f t="shared" ca="1" si="161"/>
        <v>-1.0577471092697006</v>
      </c>
      <c r="N379" s="304">
        <f t="shared" ca="1" si="162"/>
        <v>-60.604445153316959</v>
      </c>
      <c r="P379" s="310">
        <f t="shared" ca="1" si="163"/>
        <v>23</v>
      </c>
      <c r="Q379" s="304">
        <f t="shared" ca="1" si="164"/>
        <v>0</v>
      </c>
      <c r="R379" s="306">
        <f t="shared" ca="1" si="165"/>
        <v>0</v>
      </c>
      <c r="S379" s="307">
        <f t="shared" ca="1" si="166"/>
        <v>7.9769999999999968</v>
      </c>
      <c r="T379" s="304">
        <f t="shared" ca="1" si="146"/>
        <v>78.254369999999966</v>
      </c>
      <c r="U379" s="311">
        <f t="shared" ca="1" si="147"/>
        <v>0</v>
      </c>
      <c r="V379" s="306">
        <f t="shared" ca="1" si="148"/>
        <v>1.0827423677769024</v>
      </c>
      <c r="W379" s="304">
        <f t="shared" ca="1" si="149"/>
        <v>7.0048799134517745</v>
      </c>
      <c r="Y379" s="314" t="str">
        <f t="shared" ca="1" si="167"/>
        <v/>
      </c>
      <c r="Z379" s="315" t="str">
        <f t="shared" ca="1" si="168"/>
        <v/>
      </c>
      <c r="AA379" s="316" t="str">
        <f t="shared" ca="1" si="169"/>
        <v/>
      </c>
      <c r="AC379" s="310" t="e">
        <f t="shared" ca="1" si="170"/>
        <v>#N/A</v>
      </c>
      <c r="AD379" s="323" t="e">
        <f t="shared" ca="1" si="171"/>
        <v>#N/A</v>
      </c>
      <c r="AE379" s="324" t="e">
        <f t="shared" ca="1" si="150"/>
        <v>#N/A</v>
      </c>
      <c r="AG379" s="306">
        <f t="shared" ca="1" si="172"/>
        <v>7.6454118768100381</v>
      </c>
      <c r="AH379" s="304">
        <f t="shared" ca="1" si="173"/>
        <v>-0.84762583365174637</v>
      </c>
    </row>
    <row r="380" spans="1:34" x14ac:dyDescent="0.2">
      <c r="A380" s="347">
        <f t="shared" ca="1" si="151"/>
        <v>0.1</v>
      </c>
      <c r="B380" s="304">
        <f t="shared" ca="1" si="152"/>
        <v>19.600000000000012</v>
      </c>
      <c r="D380" s="306">
        <f t="shared" ca="1" si="153"/>
        <v>-0.43102022890294017</v>
      </c>
      <c r="E380" s="307">
        <f t="shared" ca="1" si="154"/>
        <v>-9.044923543648169</v>
      </c>
      <c r="F380" s="304">
        <f t="shared" ca="1" si="155"/>
        <v>9.0551874827727605</v>
      </c>
      <c r="G380" s="306">
        <f t="shared" ca="1" si="156"/>
        <v>21.679283450230269</v>
      </c>
      <c r="H380" s="307">
        <f t="shared" ca="1" si="157"/>
        <v>-39.462510254322893</v>
      </c>
      <c r="I380" s="304">
        <f t="shared" ca="1" si="158"/>
        <v>45.025337827582902</v>
      </c>
      <c r="J380" s="306">
        <f t="shared" ca="1" si="159"/>
        <v>516.00950214283523</v>
      </c>
      <c r="K380" s="307">
        <f t="shared" ca="1" si="160"/>
        <v>1228.9717085166562</v>
      </c>
      <c r="L380" s="304">
        <f t="shared" ca="1" si="145"/>
        <v>1332.9055730381074</v>
      </c>
      <c r="M380" s="306">
        <f t="shared" ca="1" si="161"/>
        <v>-1.0684415199250028</v>
      </c>
      <c r="N380" s="304">
        <f t="shared" ca="1" si="162"/>
        <v>-61.217189748245517</v>
      </c>
      <c r="P380" s="310">
        <f t="shared" ca="1" si="163"/>
        <v>23</v>
      </c>
      <c r="Q380" s="304">
        <f t="shared" ca="1" si="164"/>
        <v>0</v>
      </c>
      <c r="R380" s="306">
        <f t="shared" ca="1" si="165"/>
        <v>0</v>
      </c>
      <c r="S380" s="307">
        <f t="shared" ca="1" si="166"/>
        <v>7.9769999999999968</v>
      </c>
      <c r="T380" s="304">
        <f t="shared" ca="1" si="146"/>
        <v>78.254369999999966</v>
      </c>
      <c r="U380" s="311">
        <f t="shared" ca="1" si="147"/>
        <v>0</v>
      </c>
      <c r="V380" s="306">
        <f t="shared" ca="1" si="148"/>
        <v>1.0831664374889218</v>
      </c>
      <c r="W380" s="304">
        <f t="shared" ca="1" si="149"/>
        <v>7.2534193646647314</v>
      </c>
      <c r="Y380" s="314" t="str">
        <f t="shared" ca="1" si="167"/>
        <v/>
      </c>
      <c r="Z380" s="315" t="str">
        <f t="shared" ca="1" si="168"/>
        <v/>
      </c>
      <c r="AA380" s="316" t="str">
        <f t="shared" ca="1" si="169"/>
        <v/>
      </c>
      <c r="AC380" s="310" t="e">
        <f t="shared" ca="1" si="170"/>
        <v>#N/A</v>
      </c>
      <c r="AD380" s="323" t="e">
        <f t="shared" ca="1" si="171"/>
        <v>#N/A</v>
      </c>
      <c r="AE380" s="324" t="e">
        <f t="shared" ca="1" si="150"/>
        <v>#N/A</v>
      </c>
      <c r="AG380" s="306">
        <f t="shared" ca="1" si="172"/>
        <v>7.6688464545819315</v>
      </c>
      <c r="AH380" s="304">
        <f t="shared" ca="1" si="173"/>
        <v>-0.87813462623188887</v>
      </c>
    </row>
    <row r="381" spans="1:34" x14ac:dyDescent="0.2">
      <c r="A381" s="347">
        <f t="shared" ca="1" si="151"/>
        <v>0.1</v>
      </c>
      <c r="B381" s="304">
        <f t="shared" ca="1" si="152"/>
        <v>19.700000000000014</v>
      </c>
      <c r="D381" s="306">
        <f t="shared" ca="1" si="153"/>
        <v>-0.43781550620600501</v>
      </c>
      <c r="E381" s="307">
        <f t="shared" ca="1" si="154"/>
        <v>-9.0130502787225417</v>
      </c>
      <c r="F381" s="304">
        <f t="shared" ca="1" si="155"/>
        <v>9.0236776174825142</v>
      </c>
      <c r="G381" s="306">
        <f t="shared" ca="1" si="156"/>
        <v>21.635501899609668</v>
      </c>
      <c r="H381" s="307">
        <f t="shared" ca="1" si="157"/>
        <v>-40.363815282195148</v>
      </c>
      <c r="I381" s="304">
        <f t="shared" ca="1" si="158"/>
        <v>45.796643180294168</v>
      </c>
      <c r="J381" s="306">
        <f t="shared" ca="1" si="159"/>
        <v>518.1752414103272</v>
      </c>
      <c r="K381" s="307">
        <f t="shared" ca="1" si="160"/>
        <v>1224.9803922398303</v>
      </c>
      <c r="L381" s="304">
        <f t="shared" ca="1" si="145"/>
        <v>1330.0686231103639</v>
      </c>
      <c r="M381" s="306">
        <f t="shared" ca="1" si="161"/>
        <v>-1.0787556120226907</v>
      </c>
      <c r="N381" s="304">
        <f t="shared" ca="1" si="162"/>
        <v>-61.808143694952264</v>
      </c>
      <c r="P381" s="310">
        <f t="shared" ca="1" si="163"/>
        <v>23</v>
      </c>
      <c r="Q381" s="304">
        <f t="shared" ca="1" si="164"/>
        <v>0</v>
      </c>
      <c r="R381" s="306">
        <f t="shared" ca="1" si="165"/>
        <v>0</v>
      </c>
      <c r="S381" s="307">
        <f t="shared" ca="1" si="166"/>
        <v>7.9769999999999968</v>
      </c>
      <c r="T381" s="304">
        <f t="shared" ca="1" si="146"/>
        <v>78.254369999999966</v>
      </c>
      <c r="U381" s="311">
        <f t="shared" ca="1" si="147"/>
        <v>0</v>
      </c>
      <c r="V381" s="306">
        <f t="shared" ca="1" si="148"/>
        <v>1.0836004836977438</v>
      </c>
      <c r="W381" s="304">
        <f t="shared" ca="1" si="149"/>
        <v>7.5070639423941143</v>
      </c>
      <c r="Y381" s="314" t="str">
        <f t="shared" ca="1" si="167"/>
        <v/>
      </c>
      <c r="Z381" s="315" t="str">
        <f t="shared" ca="1" si="168"/>
        <v/>
      </c>
      <c r="AA381" s="316" t="str">
        <f t="shared" ca="1" si="169"/>
        <v/>
      </c>
      <c r="AC381" s="310" t="e">
        <f t="shared" ca="1" si="170"/>
        <v>#N/A</v>
      </c>
      <c r="AD381" s="323" t="e">
        <f t="shared" ca="1" si="171"/>
        <v>#N/A</v>
      </c>
      <c r="AE381" s="324" t="e">
        <f t="shared" ca="1" si="150"/>
        <v>#N/A</v>
      </c>
      <c r="AG381" s="306">
        <f t="shared" ca="1" si="172"/>
        <v>7.688694395021141</v>
      </c>
      <c r="AH381" s="304">
        <f t="shared" ca="1" si="173"/>
        <v>-0.90929163403093072</v>
      </c>
    </row>
    <row r="382" spans="1:34" x14ac:dyDescent="0.2">
      <c r="A382" s="347">
        <f t="shared" ca="1" si="151"/>
        <v>0.1</v>
      </c>
      <c r="B382" s="304">
        <f t="shared" ca="1" si="152"/>
        <v>19.800000000000015</v>
      </c>
      <c r="D382" s="306">
        <f t="shared" ca="1" si="153"/>
        <v>-0.44459425992363943</v>
      </c>
      <c r="E382" s="307">
        <f t="shared" ca="1" si="154"/>
        <v>-8.980552147745378</v>
      </c>
      <c r="F382" s="304">
        <f t="shared" ca="1" si="155"/>
        <v>8.9915505300438134</v>
      </c>
      <c r="G382" s="306">
        <f t="shared" ca="1" si="156"/>
        <v>21.591042473617303</v>
      </c>
      <c r="H382" s="307">
        <f t="shared" ca="1" si="157"/>
        <v>-41.261870496969685</v>
      </c>
      <c r="I382" s="304">
        <f t="shared" ca="1" si="158"/>
        <v>46.569465017393568</v>
      </c>
      <c r="J382" s="306">
        <f t="shared" ca="1" si="159"/>
        <v>520.33656862898852</v>
      </c>
      <c r="K382" s="307">
        <f t="shared" ca="1" si="160"/>
        <v>1220.8991079508721</v>
      </c>
      <c r="L382" s="304">
        <f t="shared" ca="1" si="145"/>
        <v>1327.1566510581279</v>
      </c>
      <c r="M382" s="306">
        <f t="shared" ca="1" si="161"/>
        <v>-1.088707563633966</v>
      </c>
      <c r="N382" s="304">
        <f t="shared" ca="1" si="162"/>
        <v>-62.378348520196759</v>
      </c>
      <c r="P382" s="310">
        <f t="shared" ca="1" si="163"/>
        <v>23</v>
      </c>
      <c r="Q382" s="304">
        <f t="shared" ca="1" si="164"/>
        <v>0</v>
      </c>
      <c r="R382" s="306">
        <f t="shared" ca="1" si="165"/>
        <v>0</v>
      </c>
      <c r="S382" s="307">
        <f t="shared" ca="1" si="166"/>
        <v>7.9769999999999968</v>
      </c>
      <c r="T382" s="304">
        <f t="shared" ca="1" si="146"/>
        <v>78.254369999999966</v>
      </c>
      <c r="U382" s="311">
        <f t="shared" ca="1" si="147"/>
        <v>0</v>
      </c>
      <c r="V382" s="306">
        <f t="shared" ca="1" si="148"/>
        <v>1.0840444825516884</v>
      </c>
      <c r="W382" s="304">
        <f t="shared" ca="1" si="149"/>
        <v>7.7657469308599838</v>
      </c>
      <c r="Y382" s="314" t="str">
        <f t="shared" ca="1" si="167"/>
        <v/>
      </c>
      <c r="Z382" s="315" t="str">
        <f t="shared" ca="1" si="168"/>
        <v/>
      </c>
      <c r="AA382" s="316" t="str">
        <f t="shared" ca="1" si="169"/>
        <v/>
      </c>
      <c r="AC382" s="310" t="e">
        <f t="shared" ca="1" si="170"/>
        <v>#N/A</v>
      </c>
      <c r="AD382" s="323" t="e">
        <f t="shared" ca="1" si="171"/>
        <v>#N/A</v>
      </c>
      <c r="AE382" s="324" t="e">
        <f t="shared" ca="1" si="150"/>
        <v>#N/A</v>
      </c>
      <c r="AG382" s="306">
        <f t="shared" ca="1" si="172"/>
        <v>7.7051570500350204</v>
      </c>
      <c r="AH382" s="304">
        <f t="shared" ca="1" si="173"/>
        <v>-0.94108862258920867</v>
      </c>
    </row>
    <row r="383" spans="1:34" x14ac:dyDescent="0.2">
      <c r="A383" s="347">
        <f t="shared" ca="1" si="151"/>
        <v>0.1</v>
      </c>
      <c r="B383" s="304">
        <f t="shared" ca="1" si="152"/>
        <v>19.900000000000016</v>
      </c>
      <c r="D383" s="306">
        <f t="shared" ca="1" si="153"/>
        <v>-0.45135265820848458</v>
      </c>
      <c r="E383" s="307">
        <f t="shared" ca="1" si="154"/>
        <v>-8.9474360476471535</v>
      </c>
      <c r="F383" s="304">
        <f t="shared" ca="1" si="155"/>
        <v>8.9588130379424484</v>
      </c>
      <c r="G383" s="306">
        <f t="shared" ca="1" si="156"/>
        <v>21.545907207796454</v>
      </c>
      <c r="H383" s="307">
        <f t="shared" ca="1" si="157"/>
        <v>-42.156614101734398</v>
      </c>
      <c r="I383" s="304">
        <f t="shared" ca="1" si="158"/>
        <v>47.343491949047511</v>
      </c>
      <c r="J383" s="306">
        <f t="shared" ca="1" si="159"/>
        <v>522.4934161130592</v>
      </c>
      <c r="K383" s="307">
        <f t="shared" ca="1" si="160"/>
        <v>1216.7281837209368</v>
      </c>
      <c r="L383" s="304">
        <f t="shared" ca="1" si="145"/>
        <v>1324.1702469631102</v>
      </c>
      <c r="M383" s="306">
        <f t="shared" ca="1" si="161"/>
        <v>-1.098314563030713</v>
      </c>
      <c r="N383" s="304">
        <f t="shared" ca="1" si="162"/>
        <v>-62.928789039415086</v>
      </c>
      <c r="P383" s="310">
        <f t="shared" ca="1" si="163"/>
        <v>23</v>
      </c>
      <c r="Q383" s="304">
        <f t="shared" ca="1" si="164"/>
        <v>0</v>
      </c>
      <c r="R383" s="306">
        <f t="shared" ca="1" si="165"/>
        <v>0</v>
      </c>
      <c r="S383" s="307">
        <f t="shared" ca="1" si="166"/>
        <v>7.9769999999999968</v>
      </c>
      <c r="T383" s="304">
        <f t="shared" ca="1" si="146"/>
        <v>78.254369999999966</v>
      </c>
      <c r="U383" s="311">
        <f t="shared" ca="1" si="147"/>
        <v>0</v>
      </c>
      <c r="V383" s="306">
        <f t="shared" ca="1" si="148"/>
        <v>1.0844984097310759</v>
      </c>
      <c r="W383" s="304">
        <f t="shared" ca="1" si="149"/>
        <v>8.0294006138069776</v>
      </c>
      <c r="Y383" s="314" t="str">
        <f t="shared" ca="1" si="167"/>
        <v/>
      </c>
      <c r="Z383" s="315" t="str">
        <f t="shared" ca="1" si="168"/>
        <v/>
      </c>
      <c r="AA383" s="316" t="str">
        <f t="shared" ca="1" si="169"/>
        <v/>
      </c>
      <c r="AC383" s="310" t="e">
        <f t="shared" ca="1" si="170"/>
        <v>#N/A</v>
      </c>
      <c r="AD383" s="323" t="e">
        <f t="shared" ca="1" si="171"/>
        <v>#N/A</v>
      </c>
      <c r="AE383" s="324" t="e">
        <f t="shared" ca="1" si="150"/>
        <v>#N/A</v>
      </c>
      <c r="AG383" s="306">
        <f t="shared" ca="1" si="172"/>
        <v>7.7184217798019539</v>
      </c>
      <c r="AH383" s="304">
        <f t="shared" ca="1" si="173"/>
        <v>-0.97351722838911703</v>
      </c>
    </row>
    <row r="384" spans="1:34" x14ac:dyDescent="0.2">
      <c r="A384" s="347">
        <f t="shared" ca="1" si="151"/>
        <v>0.1</v>
      </c>
      <c r="B384" s="304">
        <f t="shared" ca="1" si="152"/>
        <v>20.000000000000018</v>
      </c>
      <c r="D384" s="306">
        <f t="shared" ca="1" si="153"/>
        <v>-0.45808706902025037</v>
      </c>
      <c r="E384" s="307">
        <f t="shared" ca="1" si="154"/>
        <v>-8.9137091356871085</v>
      </c>
      <c r="F384" s="304">
        <f t="shared" ca="1" si="155"/>
        <v>8.9254722182322315</v>
      </c>
      <c r="G384" s="306">
        <f t="shared" ca="1" si="156"/>
        <v>21.500098500894428</v>
      </c>
      <c r="H384" s="307">
        <f t="shared" ca="1" si="157"/>
        <v>-43.047985015303112</v>
      </c>
      <c r="I384" s="304">
        <f t="shared" ca="1" si="158"/>
        <v>48.118429415619168</v>
      </c>
      <c r="J384" s="306">
        <f t="shared" ca="1" si="159"/>
        <v>524.64571639849373</v>
      </c>
      <c r="K384" s="307">
        <f t="shared" ca="1" si="160"/>
        <v>1212.467953765085</v>
      </c>
      <c r="L384" s="304">
        <f t="shared" ca="1" si="145"/>
        <v>1321.1100130733175</v>
      </c>
      <c r="M384" s="306">
        <f t="shared" ca="1" si="161"/>
        <v>-1.1075928605125394</v>
      </c>
      <c r="N384" s="304">
        <f t="shared" ca="1" si="162"/>
        <v>-63.460396326190597</v>
      </c>
      <c r="P384" s="310">
        <f t="shared" ca="1" si="163"/>
        <v>23</v>
      </c>
      <c r="Q384" s="304">
        <f t="shared" ca="1" si="164"/>
        <v>0</v>
      </c>
      <c r="R384" s="306">
        <f t="shared" ca="1" si="165"/>
        <v>0</v>
      </c>
      <c r="S384" s="307">
        <f t="shared" ca="1" si="166"/>
        <v>7.9769999999999968</v>
      </c>
      <c r="T384" s="304">
        <f t="shared" ca="1" si="146"/>
        <v>78.254369999999966</v>
      </c>
      <c r="U384" s="311">
        <f t="shared" ca="1" si="147"/>
        <v>0</v>
      </c>
      <c r="V384" s="306">
        <f t="shared" ca="1" si="148"/>
        <v>1.0849622404522148</v>
      </c>
      <c r="W384" s="304">
        <f t="shared" ca="1" si="149"/>
        <v>8.2979563042526365</v>
      </c>
      <c r="Y384" s="314" t="str">
        <f t="shared" ca="1" si="167"/>
        <v/>
      </c>
      <c r="Z384" s="315" t="str">
        <f t="shared" ca="1" si="168"/>
        <v/>
      </c>
      <c r="AA384" s="316" t="str">
        <f t="shared" ca="1" si="169"/>
        <v/>
      </c>
      <c r="AC384" s="310">
        <f t="shared" ca="1" si="170"/>
        <v>20.000000000000018</v>
      </c>
      <c r="AD384" s="323">
        <f t="shared" ca="1" si="171"/>
        <v>524.64571639849373</v>
      </c>
      <c r="AE384" s="324" t="e">
        <f t="shared" ca="1" si="150"/>
        <v>#N/A</v>
      </c>
      <c r="AG384" s="306">
        <f t="shared" ca="1" si="172"/>
        <v>7.7286630052523098</v>
      </c>
      <c r="AH384" s="304">
        <f t="shared" ca="1" si="173"/>
        <v>-1.0065689624930401</v>
      </c>
    </row>
    <row r="385" spans="1:34" x14ac:dyDescent="0.2">
      <c r="A385" s="347">
        <f t="shared" ca="1" si="151"/>
        <v>0.1</v>
      </c>
      <c r="B385" s="304">
        <f t="shared" ca="1" si="152"/>
        <v>20.100000000000019</v>
      </c>
      <c r="D385" s="306">
        <f t="shared" ca="1" si="153"/>
        <v>-0.46479404757339232</v>
      </c>
      <c r="E385" s="307">
        <f t="shared" ca="1" si="154"/>
        <v>-8.8793788126454825</v>
      </c>
      <c r="F385" s="304">
        <f t="shared" ca="1" si="155"/>
        <v>8.8915353907588521</v>
      </c>
      <c r="G385" s="306">
        <f t="shared" ca="1" si="156"/>
        <v>21.453619096137089</v>
      </c>
      <c r="H385" s="307">
        <f t="shared" ca="1" si="157"/>
        <v>-43.935922896567661</v>
      </c>
      <c r="I385" s="304">
        <f t="shared" ca="1" si="158"/>
        <v>48.893998538627173</v>
      </c>
      <c r="J385" s="306">
        <f t="shared" ca="1" si="159"/>
        <v>526.7934022783453</v>
      </c>
      <c r="K385" s="307">
        <f t="shared" ca="1" si="160"/>
        <v>1208.1187583694914</v>
      </c>
      <c r="L385" s="304">
        <f t="shared" ca="1" si="145"/>
        <v>1317.9765639070506</v>
      </c>
      <c r="M385" s="306">
        <f t="shared" ca="1" si="161"/>
        <v>-1.1165578188508753</v>
      </c>
      <c r="N385" s="304">
        <f t="shared" ca="1" si="162"/>
        <v>-63.974050602487864</v>
      </c>
      <c r="P385" s="310">
        <f t="shared" ca="1" si="163"/>
        <v>23</v>
      </c>
      <c r="Q385" s="304">
        <f t="shared" ca="1" si="164"/>
        <v>0</v>
      </c>
      <c r="R385" s="306">
        <f t="shared" ca="1" si="165"/>
        <v>0</v>
      </c>
      <c r="S385" s="307">
        <f t="shared" ca="1" si="166"/>
        <v>7.9769999999999968</v>
      </c>
      <c r="T385" s="304">
        <f t="shared" ca="1" si="146"/>
        <v>78.254369999999966</v>
      </c>
      <c r="U385" s="311">
        <f t="shared" ca="1" si="147"/>
        <v>0</v>
      </c>
      <c r="V385" s="306">
        <f t="shared" ca="1" si="148"/>
        <v>1.0854359494716064</v>
      </c>
      <c r="W385" s="304">
        <f t="shared" ca="1" si="149"/>
        <v>8.5713443749005744</v>
      </c>
      <c r="Y385" s="314" t="str">
        <f t="shared" ca="1" si="167"/>
        <v/>
      </c>
      <c r="Z385" s="315" t="str">
        <f t="shared" ca="1" si="168"/>
        <v/>
      </c>
      <c r="AA385" s="316" t="str">
        <f t="shared" ca="1" si="169"/>
        <v/>
      </c>
      <c r="AC385" s="310" t="e">
        <f t="shared" ca="1" si="170"/>
        <v>#N/A</v>
      </c>
      <c r="AD385" s="323" t="e">
        <f t="shared" ca="1" si="171"/>
        <v>#N/A</v>
      </c>
      <c r="AE385" s="324" t="e">
        <f t="shared" ca="1" si="150"/>
        <v>#N/A</v>
      </c>
      <c r="AG385" s="306">
        <f t="shared" ca="1" si="172"/>
        <v>7.7360431915027279</v>
      </c>
      <c r="AH385" s="304">
        <f t="shared" ca="1" si="173"/>
        <v>-1.0402352142726137</v>
      </c>
    </row>
    <row r="386" spans="1:34" x14ac:dyDescent="0.2">
      <c r="A386" s="347">
        <f t="shared" ca="1" si="151"/>
        <v>0.1</v>
      </c>
      <c r="B386" s="304">
        <f t="shared" ca="1" si="152"/>
        <v>20.200000000000021</v>
      </c>
      <c r="D386" s="306">
        <f t="shared" ca="1" si="153"/>
        <v>-0.47147032475453365</v>
      </c>
      <c r="E386" s="307">
        <f t="shared" ca="1" si="154"/>
        <v>-8.8444527073213148</v>
      </c>
      <c r="F386" s="304">
        <f t="shared" ca="1" si="155"/>
        <v>8.8570101026908326</v>
      </c>
      <c r="G386" s="306">
        <f t="shared" ca="1" si="156"/>
        <v>21.406472063661635</v>
      </c>
      <c r="H386" s="307">
        <f t="shared" ca="1" si="157"/>
        <v>-44.82036816729979</v>
      </c>
      <c r="I386" s="304">
        <f t="shared" ca="1" si="158"/>
        <v>49.669935060000093</v>
      </c>
      <c r="J386" s="306">
        <f t="shared" ca="1" si="159"/>
        <v>528.93640683633521</v>
      </c>
      <c r="K386" s="307">
        <f t="shared" ca="1" si="160"/>
        <v>1203.6809438162979</v>
      </c>
      <c r="L386" s="304">
        <f t="shared" ca="1" si="145"/>
        <v>1314.7705263594203</v>
      </c>
      <c r="M386" s="306">
        <f t="shared" ca="1" si="161"/>
        <v>-1.1252239620619642</v>
      </c>
      <c r="N386" s="304">
        <f t="shared" ca="1" si="162"/>
        <v>-64.470584033139204</v>
      </c>
      <c r="P386" s="310">
        <f t="shared" ca="1" si="163"/>
        <v>23</v>
      </c>
      <c r="Q386" s="304">
        <f t="shared" ca="1" si="164"/>
        <v>0</v>
      </c>
      <c r="R386" s="306">
        <f t="shared" ca="1" si="165"/>
        <v>0</v>
      </c>
      <c r="S386" s="307">
        <f t="shared" ca="1" si="166"/>
        <v>7.9769999999999968</v>
      </c>
      <c r="T386" s="304">
        <f t="shared" ca="1" si="146"/>
        <v>78.254369999999966</v>
      </c>
      <c r="U386" s="311">
        <f t="shared" ca="1" si="147"/>
        <v>0</v>
      </c>
      <c r="V386" s="306">
        <f t="shared" ca="1" si="148"/>
        <v>1.085919511090363</v>
      </c>
      <c r="W386" s="304">
        <f t="shared" ca="1" si="149"/>
        <v>8.8494942891586277</v>
      </c>
      <c r="Y386" s="314" t="str">
        <f t="shared" ca="1" si="167"/>
        <v/>
      </c>
      <c r="Z386" s="315" t="str">
        <f t="shared" ca="1" si="168"/>
        <v/>
      </c>
      <c r="AA386" s="316" t="str">
        <f t="shared" ca="1" si="169"/>
        <v/>
      </c>
      <c r="AC386" s="310" t="e">
        <f t="shared" ca="1" si="170"/>
        <v>#N/A</v>
      </c>
      <c r="AD386" s="323" t="e">
        <f t="shared" ca="1" si="171"/>
        <v>#N/A</v>
      </c>
      <c r="AE386" s="324" t="e">
        <f t="shared" ca="1" si="150"/>
        <v>#N/A</v>
      </c>
      <c r="AG386" s="306">
        <f t="shared" ca="1" si="172"/>
        <v>7.7407137636695973</v>
      </c>
      <c r="AH386" s="304">
        <f t="shared" ca="1" si="173"/>
        <v>-1.0745072552213335</v>
      </c>
    </row>
    <row r="387" spans="1:34" x14ac:dyDescent="0.2">
      <c r="A387" s="347">
        <f t="shared" ca="1" si="151"/>
        <v>0.1</v>
      </c>
      <c r="B387" s="304">
        <f t="shared" ca="1" si="152"/>
        <v>20.300000000000022</v>
      </c>
      <c r="D387" s="306">
        <f t="shared" ca="1" si="153"/>
        <v>-0.478112796439573</v>
      </c>
      <c r="E387" s="307">
        <f t="shared" ca="1" si="154"/>
        <v>-8.8089386621863834</v>
      </c>
      <c r="F387" s="304">
        <f t="shared" ca="1" si="155"/>
        <v>8.8219041142080723</v>
      </c>
      <c r="G387" s="306">
        <f t="shared" ca="1" si="156"/>
        <v>21.358660784017676</v>
      </c>
      <c r="H387" s="307">
        <f t="shared" ca="1" si="157"/>
        <v>-45.701262033518425</v>
      </c>
      <c r="I387" s="304">
        <f t="shared" ca="1" si="158"/>
        <v>50.445988363229112</v>
      </c>
      <c r="J387" s="306">
        <f t="shared" ca="1" si="159"/>
        <v>531.07466347871923</v>
      </c>
      <c r="K387" s="307">
        <f t="shared" ca="1" si="160"/>
        <v>1199.154862306257</v>
      </c>
      <c r="L387" s="304">
        <f t="shared" ca="1" si="145"/>
        <v>1311.4925398117114</v>
      </c>
      <c r="M387" s="306">
        <f t="shared" ca="1" si="161"/>
        <v>-1.1336050223085332</v>
      </c>
      <c r="N387" s="304">
        <f t="shared" ca="1" si="162"/>
        <v>-64.950783413112489</v>
      </c>
      <c r="P387" s="310">
        <f t="shared" ca="1" si="163"/>
        <v>23</v>
      </c>
      <c r="Q387" s="304">
        <f t="shared" ca="1" si="164"/>
        <v>0</v>
      </c>
      <c r="R387" s="306">
        <f t="shared" ca="1" si="165"/>
        <v>0</v>
      </c>
      <c r="S387" s="307">
        <f t="shared" ca="1" si="166"/>
        <v>7.9769999999999968</v>
      </c>
      <c r="T387" s="304">
        <f t="shared" ca="1" si="146"/>
        <v>78.254369999999966</v>
      </c>
      <c r="U387" s="311">
        <f t="shared" ca="1" si="147"/>
        <v>0</v>
      </c>
      <c r="V387" s="306">
        <f t="shared" ca="1" si="148"/>
        <v>1.0864128991588156</v>
      </c>
      <c r="W387" s="304">
        <f t="shared" ca="1" si="149"/>
        <v>9.1323346327055486</v>
      </c>
      <c r="Y387" s="314" t="str">
        <f t="shared" ca="1" si="167"/>
        <v/>
      </c>
      <c r="Z387" s="315" t="str">
        <f t="shared" ca="1" si="168"/>
        <v/>
      </c>
      <c r="AA387" s="316" t="str">
        <f t="shared" ca="1" si="169"/>
        <v/>
      </c>
      <c r="AC387" s="310" t="e">
        <f t="shared" ca="1" si="170"/>
        <v>#N/A</v>
      </c>
      <c r="AD387" s="323" t="e">
        <f t="shared" ca="1" si="171"/>
        <v>#N/A</v>
      </c>
      <c r="AE387" s="324" t="e">
        <f t="shared" ca="1" si="150"/>
        <v>#N/A</v>
      </c>
      <c r="AG387" s="306">
        <f t="shared" ca="1" si="172"/>
        <v>7.7428159573295696</v>
      </c>
      <c r="AH387" s="304">
        <f t="shared" ca="1" si="173"/>
        <v>-1.1093762428430025</v>
      </c>
    </row>
    <row r="388" spans="1:34" x14ac:dyDescent="0.2">
      <c r="A388" s="347">
        <f t="shared" ca="1" si="151"/>
        <v>0.1</v>
      </c>
      <c r="B388" s="304">
        <f t="shared" ca="1" si="152"/>
        <v>20.400000000000023</v>
      </c>
      <c r="D388" s="306">
        <f t="shared" ca="1" si="153"/>
        <v>-0.4847185136433782</v>
      </c>
      <c r="E388" s="307">
        <f t="shared" ca="1" si="154"/>
        <v>-8.7728447200636399</v>
      </c>
      <c r="F388" s="304">
        <f t="shared" ca="1" si="155"/>
        <v>8.7862253852161754</v>
      </c>
      <c r="G388" s="306">
        <f t="shared" ca="1" si="156"/>
        <v>21.31018893265334</v>
      </c>
      <c r="H388" s="307">
        <f t="shared" ca="1" si="157"/>
        <v>-46.578546505524791</v>
      </c>
      <c r="I388" s="304">
        <f t="shared" ca="1" si="158"/>
        <v>51.221920570325324</v>
      </c>
      <c r="J388" s="306">
        <f t="shared" ca="1" si="159"/>
        <v>533.20810596455283</v>
      </c>
      <c r="K388" s="307">
        <f t="shared" ca="1" si="160"/>
        <v>1194.5408718793049</v>
      </c>
      <c r="L388" s="304">
        <f t="shared" ref="L388:L451" ca="1" si="174">SQRT(pos_x^2+pos_z^2)</f>
        <v>1308.1432562439313</v>
      </c>
      <c r="M388" s="306">
        <f t="shared" ca="1" si="161"/>
        <v>-1.1417139848002076</v>
      </c>
      <c r="N388" s="304">
        <f t="shared" ca="1" si="162"/>
        <v>-65.415392740115323</v>
      </c>
      <c r="P388" s="310">
        <f t="shared" ca="1" si="163"/>
        <v>23</v>
      </c>
      <c r="Q388" s="304">
        <f t="shared" ca="1" si="164"/>
        <v>0</v>
      </c>
      <c r="R388" s="306">
        <f t="shared" ca="1" si="165"/>
        <v>0</v>
      </c>
      <c r="S388" s="307">
        <f t="shared" ca="1" si="166"/>
        <v>7.9769999999999968</v>
      </c>
      <c r="T388" s="304">
        <f t="shared" ref="T388:T451" ca="1" si="175">m*g</f>
        <v>78.254369999999966</v>
      </c>
      <c r="U388" s="311">
        <f t="shared" ref="U388:U451" ca="1" si="176">IF(pos_xz&lt;L_rampe,Poids*COS(Beta),0)</f>
        <v>0</v>
      </c>
      <c r="V388" s="306">
        <f t="shared" ref="V388:V451" ca="1" si="177">Rho_moyen*(20000-Alt_rampe-pos_z)/(20000+Alt_rampe+pos_z)</f>
        <v>1.0869160870813055</v>
      </c>
      <c r="W388" s="304">
        <f t="shared" ref="W388:W451" ca="1" si="178">1/2*Rho*Sref*Cx*vit_xz^2</f>
        <v>9.419793145552994</v>
      </c>
      <c r="Y388" s="314" t="str">
        <f t="shared" ca="1" si="167"/>
        <v/>
      </c>
      <c r="Z388" s="315" t="str">
        <f t="shared" ca="1" si="168"/>
        <v/>
      </c>
      <c r="AA388" s="316" t="str">
        <f t="shared" ca="1" si="169"/>
        <v/>
      </c>
      <c r="AC388" s="310" t="e">
        <f t="shared" ca="1" si="170"/>
        <v>#N/A</v>
      </c>
      <c r="AD388" s="323" t="e">
        <f t="shared" ca="1" si="171"/>
        <v>#N/A</v>
      </c>
      <c r="AE388" s="324" t="e">
        <f t="shared" ref="AE388:AE451" ca="1" si="179">IF(t&lt;T_para, pos_z, NA())</f>
        <v>#N/A</v>
      </c>
      <c r="AG388" s="306">
        <f t="shared" ca="1" si="172"/>
        <v>7.742481606467102</v>
      </c>
      <c r="AH388" s="304">
        <f t="shared" ca="1" si="173"/>
        <v>-1.1448332246089448</v>
      </c>
    </row>
    <row r="389" spans="1:34" x14ac:dyDescent="0.2">
      <c r="A389" s="347">
        <f t="shared" ref="A389:A452" ca="1" si="180">IF(B388+0.01&lt;=T_ini+ROUNDUP(Temps_fin_propu,0), 0.01, IF(K388&gt;0, 0.1, 0.0001))</f>
        <v>0.1</v>
      </c>
      <c r="B389" s="304">
        <f t="shared" ref="B389:B452" ca="1" si="181">B388+pas</f>
        <v>20.500000000000025</v>
      </c>
      <c r="D389" s="306">
        <f t="shared" ref="D389:D452" ca="1" si="182">IF(AND(L388&lt;L_rampe,Poussee&lt;Poids*SIN(M388)),0,(-W388+Poussee)/m*COS(M388)-U388/m*SIN(M388))</f>
        <v>-0.49128467343833676</v>
      </c>
      <c r="E389" s="307">
        <f t="shared" ref="E389:E452" ca="1" si="183">IF(AND(L388&lt;L_rampe,Poussee&lt;Poids*SIN(M388)),0,(-W388+Poussee)/m*SIN(M388)+U388/m*COS(M388)-Poids/m)</f>
        <v>-8.7361791117142431</v>
      </c>
      <c r="F389" s="304">
        <f t="shared" ref="F389:F452" ca="1" si="184">SQRT(acc_x^2+acc_z^2)</f>
        <v>8.7499820629706253</v>
      </c>
      <c r="G389" s="306">
        <f t="shared" ref="G389:G452" ca="1" si="185">G388+acc_x*pas</f>
        <v>21.261060465309505</v>
      </c>
      <c r="H389" s="307">
        <f t="shared" ref="H389:H452" ca="1" si="186">H388+acc_z*pas</f>
        <v>-47.452164416696213</v>
      </c>
      <c r="I389" s="304">
        <f t="shared" ref="I389:I452" ca="1" si="187">SQRT(vit_x^2+vit_z^2)</f>
        <v>51.99750570881951</v>
      </c>
      <c r="J389" s="306">
        <f t="shared" ref="J389:J452" ca="1" si="188">J388+0.5*(vit_x+G388)*pas*(K388&gt;=0)</f>
        <v>535.33666843445098</v>
      </c>
      <c r="K389" s="307">
        <f t="shared" ref="K389:K452" ca="1" si="189">K388+0.5*(vit_z+H388)*pas</f>
        <v>1189.8393363331938</v>
      </c>
      <c r="L389" s="304">
        <f t="shared" ca="1" si="174"/>
        <v>1304.7233403508624</v>
      </c>
      <c r="M389" s="306">
        <f t="shared" ref="M389:M452" ca="1" si="190">IF(AND(L388&gt;L_rampe,G389&gt;0),ATAN2(G389,H389),$M$4)</f>
        <v>-1.1495631306183729</v>
      </c>
      <c r="N389" s="304">
        <f t="shared" ref="N389:N452" ca="1" si="191">DEGREES(Beta)</f>
        <v>-65.865115668278946</v>
      </c>
      <c r="P389" s="310">
        <f t="shared" ref="P389:P452" ca="1" si="192">MATCH(t-pas/2-T_ini,CdP_t)</f>
        <v>23</v>
      </c>
      <c r="Q389" s="304">
        <f t="shared" ref="Q389:Q452" ca="1" si="193">(INDEX(CdP,2,i_P+1)-INDEX(CdP,2,i_P+0))/(INDEX(CdP,1,i_P+1)-INDEX(CdP,1,i_P+0))*(t-pas/2-T_ini-INDEX(CdP,1,i_P+0))+INDEX(CdP,2,i_P+0)</f>
        <v>0</v>
      </c>
      <c r="R389" s="306">
        <f t="shared" ref="R389:R452" ca="1" si="194">Poussee/(g*ISP)</f>
        <v>0</v>
      </c>
      <c r="S389" s="307">
        <f t="shared" ref="S389:S452" ca="1" si="195">S388-Débit*pas</f>
        <v>7.9769999999999968</v>
      </c>
      <c r="T389" s="304">
        <f t="shared" ca="1" si="175"/>
        <v>78.254369999999966</v>
      </c>
      <c r="U389" s="311">
        <f t="shared" ca="1" si="176"/>
        <v>0</v>
      </c>
      <c r="V389" s="306">
        <f t="shared" ca="1" si="177"/>
        <v>1.0874290478211448</v>
      </c>
      <c r="W389" s="304">
        <f t="shared" ca="1" si="178"/>
        <v>9.7117967545522585</v>
      </c>
      <c r="Y389" s="314" t="str">
        <f t="shared" ref="Y389:Y452" ca="1" si="196">IF(AND(pos_z&lt;=0,K388&gt;0),"Impact balistique","") &amp; IF(AND(H390&lt;0,vit_z&gt;=0),"Apogée","") &amp; IF(AND(Poussee=0,Q388&gt;0),"Fin de propulsion","") &amp; IF(AND(L390&gt;L_rampe,pos_xz&lt;=L_rampe),"Sortie de rampe","")</f>
        <v/>
      </c>
      <c r="Z389" s="315" t="str">
        <f t="shared" ref="Z389:Z452" ca="1" si="197">IF(ABS(t-T_para)&lt;pas/2,"Para","")</f>
        <v/>
      </c>
      <c r="AA389" s="316" t="str">
        <f t="shared" ref="AA389:AA452" ca="1" si="198">IF(ABS(t-T_satellite)&lt;pas/2,"Satellite","")</f>
        <v/>
      </c>
      <c r="AC389" s="310" t="e">
        <f t="shared" ref="AC389:AC452" ca="1" si="199">IF(ABS(t-ROUND(t,0))&lt;0.001,t,NA())</f>
        <v>#N/A</v>
      </c>
      <c r="AD389" s="323" t="e">
        <f t="shared" ref="AD389:AD452" ca="1" si="200">IF(ABS(t-ROUND(t,0))&lt;0.001,pos_x,NA())</f>
        <v>#N/A</v>
      </c>
      <c r="AE389" s="324" t="e">
        <f t="shared" ca="1" si="179"/>
        <v>#N/A</v>
      </c>
      <c r="AG389" s="306">
        <f t="shared" ref="AG389:AG452" ca="1" si="201">IF(AND(L388&lt;L_rampe,Poussee&lt;Poids*SIN(M388)),0,(-W388+Poussee)/m-Poids*SIN(M388)/m)</f>
        <v>7.7398338721130511</v>
      </c>
      <c r="AH389" s="304">
        <f t="shared" ref="AH389:AH452" ca="1" si="202">IF(AND(L388&lt;L_rampe,Poussee&lt;Poids*SIN(M388)), g*SIN(M388), (-W388+Poussee)/m)</f>
        <v>-1.1808691419773094</v>
      </c>
    </row>
    <row r="390" spans="1:34" x14ac:dyDescent="0.2">
      <c r="A390" s="347">
        <f t="shared" ca="1" si="180"/>
        <v>0.1</v>
      </c>
      <c r="B390" s="304">
        <f t="shared" ca="1" si="181"/>
        <v>20.600000000000026</v>
      </c>
      <c r="D390" s="306">
        <f t="shared" ca="1" si="182"/>
        <v>-0.4978086105816637</v>
      </c>
      <c r="E390" s="307">
        <f t="shared" ca="1" si="183"/>
        <v>-8.6989502442311828</v>
      </c>
      <c r="F390" s="304">
        <f t="shared" ca="1" si="184"/>
        <v>8.713182470508638</v>
      </c>
      <c r="G390" s="306">
        <f t="shared" ca="1" si="185"/>
        <v>21.211279604251338</v>
      </c>
      <c r="H390" s="307">
        <f t="shared" ca="1" si="186"/>
        <v>-48.322059441119329</v>
      </c>
      <c r="I390" s="304">
        <f t="shared" ca="1" si="187"/>
        <v>52.772528943388707</v>
      </c>
      <c r="J390" s="306">
        <f t="shared" ca="1" si="188"/>
        <v>537.46028543792897</v>
      </c>
      <c r="K390" s="307">
        <f t="shared" ca="1" si="189"/>
        <v>1185.0506251403031</v>
      </c>
      <c r="L390" s="304">
        <f t="shared" ca="1" si="174"/>
        <v>1301.2334696619371</v>
      </c>
      <c r="M390" s="306">
        <f t="shared" ca="1" si="190"/>
        <v>-1.1571640774348564</v>
      </c>
      <c r="N390" s="304">
        <f t="shared" ca="1" si="191"/>
        <v>-66.300617841166854</v>
      </c>
      <c r="P390" s="310">
        <f t="shared" ca="1" si="192"/>
        <v>23</v>
      </c>
      <c r="Q390" s="304">
        <f t="shared" ca="1" si="193"/>
        <v>0</v>
      </c>
      <c r="R390" s="306">
        <f t="shared" ca="1" si="194"/>
        <v>0</v>
      </c>
      <c r="S390" s="307">
        <f t="shared" ca="1" si="195"/>
        <v>7.9769999999999968</v>
      </c>
      <c r="T390" s="304">
        <f t="shared" ca="1" si="175"/>
        <v>78.254369999999966</v>
      </c>
      <c r="U390" s="311">
        <f t="shared" ca="1" si="176"/>
        <v>0</v>
      </c>
      <c r="V390" s="306">
        <f t="shared" ca="1" si="177"/>
        <v>1.0879517539057326</v>
      </c>
      <c r="W390" s="304">
        <f t="shared" ca="1" si="178"/>
        <v>10.008271606297717</v>
      </c>
      <c r="Y390" s="314" t="str">
        <f t="shared" ca="1" si="196"/>
        <v/>
      </c>
      <c r="Z390" s="315" t="str">
        <f t="shared" ca="1" si="197"/>
        <v/>
      </c>
      <c r="AA390" s="316" t="str">
        <f t="shared" ca="1" si="198"/>
        <v/>
      </c>
      <c r="AC390" s="310" t="e">
        <f t="shared" ca="1" si="199"/>
        <v>#N/A</v>
      </c>
      <c r="AD390" s="323" t="e">
        <f t="shared" ca="1" si="200"/>
        <v>#N/A</v>
      </c>
      <c r="AE390" s="324" t="e">
        <f t="shared" ca="1" si="179"/>
        <v>#N/A</v>
      </c>
      <c r="AG390" s="306">
        <f t="shared" ca="1" si="201"/>
        <v>7.7349879150832139</v>
      </c>
      <c r="AH390" s="304">
        <f t="shared" ca="1" si="202"/>
        <v>-1.2174748344681288</v>
      </c>
    </row>
    <row r="391" spans="1:34" x14ac:dyDescent="0.2">
      <c r="A391" s="347">
        <f t="shared" ca="1" si="180"/>
        <v>0.1</v>
      </c>
      <c r="B391" s="304">
        <f t="shared" ca="1" si="181"/>
        <v>20.700000000000028</v>
      </c>
      <c r="D391" s="306">
        <f t="shared" ca="1" si="182"/>
        <v>-0.50428778979509681</v>
      </c>
      <c r="E391" s="307">
        <f t="shared" ca="1" si="183"/>
        <v>-8.6611666901498356</v>
      </c>
      <c r="F391" s="304">
        <f t="shared" ca="1" si="184"/>
        <v>8.6758350957989911</v>
      </c>
      <c r="G391" s="306">
        <f t="shared" ca="1" si="185"/>
        <v>21.160850825271829</v>
      </c>
      <c r="H391" s="307">
        <f t="shared" ca="1" si="186"/>
        <v>-49.188176110134314</v>
      </c>
      <c r="I391" s="304">
        <f t="shared" ca="1" si="187"/>
        <v>53.546785867043369</v>
      </c>
      <c r="J391" s="306">
        <f t="shared" ca="1" si="188"/>
        <v>539.57889195940515</v>
      </c>
      <c r="K391" s="307">
        <f t="shared" ca="1" si="189"/>
        <v>1180.1751133627404</v>
      </c>
      <c r="L391" s="304">
        <f t="shared" ca="1" si="174"/>
        <v>1297.6743346652488</v>
      </c>
      <c r="M391" s="306">
        <f t="shared" ca="1" si="190"/>
        <v>-1.1645278181276353</v>
      </c>
      <c r="N391" s="304">
        <f t="shared" ca="1" si="191"/>
        <v>-66.722529104291823</v>
      </c>
      <c r="P391" s="310">
        <f t="shared" ca="1" si="192"/>
        <v>23</v>
      </c>
      <c r="Q391" s="304">
        <f t="shared" ca="1" si="193"/>
        <v>0</v>
      </c>
      <c r="R391" s="306">
        <f t="shared" ca="1" si="194"/>
        <v>0</v>
      </c>
      <c r="S391" s="307">
        <f t="shared" ca="1" si="195"/>
        <v>7.9769999999999968</v>
      </c>
      <c r="T391" s="304">
        <f t="shared" ca="1" si="175"/>
        <v>78.254369999999966</v>
      </c>
      <c r="U391" s="311">
        <f t="shared" ca="1" si="176"/>
        <v>0</v>
      </c>
      <c r="V391" s="306">
        <f t="shared" ca="1" si="177"/>
        <v>1.0884841774318246</v>
      </c>
      <c r="W391" s="304">
        <f t="shared" ca="1" si="178"/>
        <v>10.309143100381288</v>
      </c>
      <c r="Y391" s="314" t="str">
        <f t="shared" ca="1" si="196"/>
        <v/>
      </c>
      <c r="Z391" s="315" t="str">
        <f t="shared" ca="1" si="197"/>
        <v/>
      </c>
      <c r="AA391" s="316" t="str">
        <f t="shared" ca="1" si="198"/>
        <v/>
      </c>
      <c r="AC391" s="310" t="e">
        <f t="shared" ca="1" si="199"/>
        <v>#N/A</v>
      </c>
      <c r="AD391" s="323" t="e">
        <f t="shared" ca="1" si="200"/>
        <v>#N/A</v>
      </c>
      <c r="AE391" s="324" t="e">
        <f t="shared" ca="1" si="179"/>
        <v>#N/A</v>
      </c>
      <c r="AG391" s="306">
        <f t="shared" ca="1" si="201"/>
        <v>7.7280515163107752</v>
      </c>
      <c r="AH391" s="304">
        <f t="shared" ca="1" si="202"/>
        <v>-1.2546410437881059</v>
      </c>
    </row>
    <row r="392" spans="1:34" x14ac:dyDescent="0.2">
      <c r="A392" s="347">
        <f t="shared" ca="1" si="180"/>
        <v>0.1</v>
      </c>
      <c r="B392" s="304">
        <f t="shared" ca="1" si="181"/>
        <v>20.800000000000029</v>
      </c>
      <c r="D392" s="306">
        <f t="shared" ca="1" si="182"/>
        <v>-0.510719798644374</v>
      </c>
      <c r="E392" s="307">
        <f t="shared" ca="1" si="183"/>
        <v>-8.6228371771965797</v>
      </c>
      <c r="F392" s="304">
        <f t="shared" ca="1" si="184"/>
        <v>8.6379485815308499</v>
      </c>
      <c r="G392" s="306">
        <f t="shared" ca="1" si="185"/>
        <v>21.109778845407391</v>
      </c>
      <c r="H392" s="307">
        <f t="shared" ca="1" si="186"/>
        <v>-50.05045982785397</v>
      </c>
      <c r="I392" s="304">
        <f t="shared" ca="1" si="187"/>
        <v>54.320081847155144</v>
      </c>
      <c r="J392" s="306">
        <f t="shared" ca="1" si="188"/>
        <v>541.69242344293912</v>
      </c>
      <c r="K392" s="307">
        <f t="shared" ca="1" si="189"/>
        <v>1175.2131815658411</v>
      </c>
      <c r="L392" s="304">
        <f t="shared" ca="1" si="174"/>
        <v>1294.0466389360126</v>
      </c>
      <c r="M392" s="306">
        <f t="shared" ca="1" si="190"/>
        <v>-1.1716647573226484</v>
      </c>
      <c r="N392" s="304">
        <f t="shared" ca="1" si="191"/>
        <v>-67.131445598807574</v>
      </c>
      <c r="P392" s="310">
        <f t="shared" ca="1" si="192"/>
        <v>23</v>
      </c>
      <c r="Q392" s="304">
        <f t="shared" ca="1" si="193"/>
        <v>0</v>
      </c>
      <c r="R392" s="306">
        <f t="shared" ca="1" si="194"/>
        <v>0</v>
      </c>
      <c r="S392" s="307">
        <f t="shared" ca="1" si="195"/>
        <v>7.9769999999999968</v>
      </c>
      <c r="T392" s="304">
        <f t="shared" ca="1" si="175"/>
        <v>78.254369999999966</v>
      </c>
      <c r="U392" s="311">
        <f t="shared" ca="1" si="176"/>
        <v>0</v>
      </c>
      <c r="V392" s="306">
        <f t="shared" ca="1" si="177"/>
        <v>1.0890262900709371</v>
      </c>
      <c r="W392" s="304">
        <f t="shared" ca="1" si="178"/>
        <v>10.614335922954066</v>
      </c>
      <c r="Y392" s="314" t="str">
        <f t="shared" ca="1" si="196"/>
        <v/>
      </c>
      <c r="Z392" s="315" t="str">
        <f t="shared" ca="1" si="197"/>
        <v/>
      </c>
      <c r="AA392" s="316" t="str">
        <f t="shared" ca="1" si="198"/>
        <v/>
      </c>
      <c r="AC392" s="310" t="e">
        <f t="shared" ca="1" si="199"/>
        <v>#N/A</v>
      </c>
      <c r="AD392" s="323" t="e">
        <f t="shared" ca="1" si="200"/>
        <v>#N/A</v>
      </c>
      <c r="AE392" s="324" t="e">
        <f t="shared" ca="1" si="179"/>
        <v>#N/A</v>
      </c>
      <c r="AG392" s="306">
        <f t="shared" ca="1" si="201"/>
        <v>7.7191256482628336</v>
      </c>
      <c r="AH392" s="304">
        <f t="shared" ca="1" si="202"/>
        <v>-1.2923584179994099</v>
      </c>
    </row>
    <row r="393" spans="1:34" x14ac:dyDescent="0.2">
      <c r="A393" s="347">
        <f t="shared" ca="1" si="180"/>
        <v>0.1</v>
      </c>
      <c r="B393" s="304">
        <f t="shared" ca="1" si="181"/>
        <v>20.900000000000031</v>
      </c>
      <c r="D393" s="306">
        <f t="shared" ca="1" si="182"/>
        <v>-0.51710234096955587</v>
      </c>
      <c r="E393" s="307">
        <f t="shared" ca="1" si="183"/>
        <v>-8.5839705786061948</v>
      </c>
      <c r="F393" s="304">
        <f t="shared" ca="1" si="184"/>
        <v>8.5995317154722422</v>
      </c>
      <c r="G393" s="306">
        <f t="shared" ca="1" si="185"/>
        <v>21.058068611310436</v>
      </c>
      <c r="H393" s="307">
        <f t="shared" ca="1" si="186"/>
        <v>-50.908856885714592</v>
      </c>
      <c r="I393" s="304">
        <f t="shared" ca="1" si="187"/>
        <v>55.092231421942131</v>
      </c>
      <c r="J393" s="306">
        <f t="shared" ca="1" si="188"/>
        <v>543.80081581577497</v>
      </c>
      <c r="K393" s="307">
        <f t="shared" ca="1" si="189"/>
        <v>1170.1652157301626</v>
      </c>
      <c r="L393" s="304">
        <f t="shared" ca="1" si="174"/>
        <v>1290.3510992697763</v>
      </c>
      <c r="M393" s="306">
        <f t="shared" ca="1" si="190"/>
        <v>-1.1785847459101879</v>
      </c>
      <c r="N393" s="304">
        <f t="shared" ca="1" si="191"/>
        <v>-67.52793173915228</v>
      </c>
      <c r="P393" s="310">
        <f t="shared" ca="1" si="192"/>
        <v>23</v>
      </c>
      <c r="Q393" s="304">
        <f t="shared" ca="1" si="193"/>
        <v>0</v>
      </c>
      <c r="R393" s="306">
        <f t="shared" ca="1" si="194"/>
        <v>0</v>
      </c>
      <c r="S393" s="307">
        <f t="shared" ca="1" si="195"/>
        <v>7.9769999999999968</v>
      </c>
      <c r="T393" s="304">
        <f t="shared" ca="1" si="175"/>
        <v>78.254369999999966</v>
      </c>
      <c r="U393" s="311">
        <f t="shared" ca="1" si="176"/>
        <v>0</v>
      </c>
      <c r="V393" s="306">
        <f t="shared" ca="1" si="177"/>
        <v>1.0895780630748841</v>
      </c>
      <c r="W393" s="304">
        <f t="shared" ca="1" si="178"/>
        <v>10.923774080553338</v>
      </c>
      <c r="Y393" s="314" t="str">
        <f t="shared" ca="1" si="196"/>
        <v/>
      </c>
      <c r="Z393" s="315" t="str">
        <f t="shared" ca="1" si="197"/>
        <v/>
      </c>
      <c r="AA393" s="316" t="str">
        <f t="shared" ca="1" si="198"/>
        <v/>
      </c>
      <c r="AC393" s="310" t="e">
        <f t="shared" ca="1" si="199"/>
        <v>#N/A</v>
      </c>
      <c r="AD393" s="323" t="e">
        <f t="shared" ca="1" si="200"/>
        <v>#N/A</v>
      </c>
      <c r="AE393" s="324" t="e">
        <f t="shared" ca="1" si="179"/>
        <v>#N/A</v>
      </c>
      <c r="AG393" s="306">
        <f t="shared" ca="1" si="201"/>
        <v>7.7083050008627527</v>
      </c>
      <c r="AH393" s="304">
        <f t="shared" ca="1" si="202"/>
        <v>-1.3306175157269737</v>
      </c>
    </row>
    <row r="394" spans="1:34" x14ac:dyDescent="0.2">
      <c r="A394" s="347">
        <f t="shared" ca="1" si="180"/>
        <v>0.1</v>
      </c>
      <c r="B394" s="304">
        <f t="shared" ca="1" si="181"/>
        <v>21.000000000000032</v>
      </c>
      <c r="D394" s="306">
        <f t="shared" ca="1" si="182"/>
        <v>-0.52343323082083892</v>
      </c>
      <c r="E394" s="307">
        <f t="shared" ca="1" si="183"/>
        <v>-8.5445759039472016</v>
      </c>
      <c r="F394" s="304">
        <f t="shared" ca="1" si="184"/>
        <v>8.5605934213372539</v>
      </c>
      <c r="G394" s="306">
        <f t="shared" ca="1" si="185"/>
        <v>21.005725288228351</v>
      </c>
      <c r="H394" s="307">
        <f t="shared" ca="1" si="186"/>
        <v>-51.763314476109315</v>
      </c>
      <c r="I394" s="304">
        <f t="shared" ca="1" si="187"/>
        <v>55.863057743352215</v>
      </c>
      <c r="J394" s="306">
        <f t="shared" ca="1" si="188"/>
        <v>545.90400551075186</v>
      </c>
      <c r="K394" s="307">
        <f t="shared" ca="1" si="189"/>
        <v>1165.0316071620714</v>
      </c>
      <c r="L394" s="304">
        <f t="shared" ca="1" si="174"/>
        <v>1286.588445820699</v>
      </c>
      <c r="M394" s="306">
        <f t="shared" ca="1" si="190"/>
        <v>-1.1852971135985313</v>
      </c>
      <c r="N394" s="304">
        <f t="shared" ca="1" si="191"/>
        <v>-67.912522078234346</v>
      </c>
      <c r="P394" s="310">
        <f t="shared" ca="1" si="192"/>
        <v>23</v>
      </c>
      <c r="Q394" s="304">
        <f t="shared" ca="1" si="193"/>
        <v>0</v>
      </c>
      <c r="R394" s="306">
        <f t="shared" ca="1" si="194"/>
        <v>0</v>
      </c>
      <c r="S394" s="307">
        <f t="shared" ca="1" si="195"/>
        <v>7.9769999999999968</v>
      </c>
      <c r="T394" s="304">
        <f t="shared" ca="1" si="175"/>
        <v>78.254369999999966</v>
      </c>
      <c r="U394" s="311">
        <f t="shared" ca="1" si="176"/>
        <v>0</v>
      </c>
      <c r="V394" s="306">
        <f t="shared" ca="1" si="177"/>
        <v>1.0901394672814382</v>
      </c>
      <c r="W394" s="304">
        <f t="shared" ca="1" si="178"/>
        <v>11.237380934154833</v>
      </c>
      <c r="Y394" s="314" t="str">
        <f t="shared" ca="1" si="196"/>
        <v/>
      </c>
      <c r="Z394" s="315" t="str">
        <f t="shared" ca="1" si="197"/>
        <v/>
      </c>
      <c r="AA394" s="316" t="str">
        <f t="shared" ca="1" si="198"/>
        <v/>
      </c>
      <c r="AC394" s="310">
        <f t="shared" ca="1" si="199"/>
        <v>21.000000000000032</v>
      </c>
      <c r="AD394" s="323">
        <f t="shared" ca="1" si="200"/>
        <v>545.90400551075186</v>
      </c>
      <c r="AE394" s="324" t="e">
        <f t="shared" ca="1" si="179"/>
        <v>#N/A</v>
      </c>
      <c r="AG394" s="306">
        <f t="shared" ca="1" si="201"/>
        <v>7.6956784652263845</v>
      </c>
      <c r="AH394" s="304">
        <f t="shared" ca="1" si="202"/>
        <v>-1.3694088103990651</v>
      </c>
    </row>
    <row r="395" spans="1:34" x14ac:dyDescent="0.2">
      <c r="A395" s="347">
        <f t="shared" ca="1" si="180"/>
        <v>0.1</v>
      </c>
      <c r="B395" s="304">
        <f t="shared" ca="1" si="181"/>
        <v>21.100000000000033</v>
      </c>
      <c r="D395" s="306">
        <f t="shared" ca="1" si="182"/>
        <v>-0.52971038685792637</v>
      </c>
      <c r="E395" s="307">
        <f t="shared" ca="1" si="183"/>
        <v>-8.5046622904016402</v>
      </c>
      <c r="F395" s="304">
        <f t="shared" ca="1" si="184"/>
        <v>8.5211427501083943</v>
      </c>
      <c r="G395" s="306">
        <f t="shared" ca="1" si="185"/>
        <v>20.952754249542558</v>
      </c>
      <c r="H395" s="307">
        <f t="shared" ca="1" si="186"/>
        <v>-52.61378070514948</v>
      </c>
      <c r="I395" s="304">
        <f t="shared" ca="1" si="187"/>
        <v>56.632392062593325</v>
      </c>
      <c r="J395" s="306">
        <f t="shared" ca="1" si="188"/>
        <v>548.00192948764038</v>
      </c>
      <c r="K395" s="307">
        <f t="shared" ca="1" si="189"/>
        <v>1159.8127524030085</v>
      </c>
      <c r="L395" s="304">
        <f t="shared" ca="1" si="174"/>
        <v>1282.7594222451921</v>
      </c>
      <c r="M395" s="306">
        <f t="shared" ca="1" si="190"/>
        <v>-1.1918106995774953</v>
      </c>
      <c r="N395" s="304">
        <f t="shared" ca="1" si="191"/>
        <v>-68.285723064324571</v>
      </c>
      <c r="P395" s="310">
        <f t="shared" ca="1" si="192"/>
        <v>23</v>
      </c>
      <c r="Q395" s="304">
        <f t="shared" ca="1" si="193"/>
        <v>0</v>
      </c>
      <c r="R395" s="306">
        <f t="shared" ca="1" si="194"/>
        <v>0</v>
      </c>
      <c r="S395" s="307">
        <f t="shared" ca="1" si="195"/>
        <v>7.9769999999999968</v>
      </c>
      <c r="T395" s="304">
        <f t="shared" ca="1" si="175"/>
        <v>78.254369999999966</v>
      </c>
      <c r="U395" s="311">
        <f t="shared" ca="1" si="176"/>
        <v>0</v>
      </c>
      <c r="V395" s="306">
        <f t="shared" ca="1" si="177"/>
        <v>1.0907104731201047</v>
      </c>
      <c r="W395" s="304">
        <f t="shared" ca="1" si="178"/>
        <v>11.55507923341149</v>
      </c>
      <c r="Y395" s="314" t="str">
        <f t="shared" ca="1" si="196"/>
        <v/>
      </c>
      <c r="Z395" s="315" t="str">
        <f t="shared" ca="1" si="197"/>
        <v/>
      </c>
      <c r="AA395" s="316" t="str">
        <f t="shared" ca="1" si="198"/>
        <v/>
      </c>
      <c r="AC395" s="310" t="e">
        <f t="shared" ca="1" si="199"/>
        <v>#N/A</v>
      </c>
      <c r="AD395" s="323" t="e">
        <f t="shared" ca="1" si="200"/>
        <v>#N/A</v>
      </c>
      <c r="AE395" s="324" t="e">
        <f t="shared" ca="1" si="179"/>
        <v>#N/A</v>
      </c>
      <c r="AG395" s="306">
        <f t="shared" ca="1" si="201"/>
        <v>7.6813295783754896</v>
      </c>
      <c r="AH395" s="304">
        <f t="shared" ca="1" si="202"/>
        <v>-1.4087226945160884</v>
      </c>
    </row>
    <row r="396" spans="1:34" x14ac:dyDescent="0.2">
      <c r="A396" s="347">
        <f t="shared" ca="1" si="180"/>
        <v>0.1</v>
      </c>
      <c r="B396" s="304">
        <f t="shared" ca="1" si="181"/>
        <v>21.200000000000035</v>
      </c>
      <c r="D396" s="306">
        <f t="shared" ca="1" si="182"/>
        <v>-0.53593182717425825</v>
      </c>
      <c r="E396" s="307">
        <f t="shared" ca="1" si="183"/>
        <v>-8.4642389944523835</v>
      </c>
      <c r="F396" s="304">
        <f t="shared" ca="1" si="184"/>
        <v>8.4811888717671327</v>
      </c>
      <c r="G396" s="306">
        <f t="shared" ca="1" si="185"/>
        <v>20.899161066825133</v>
      </c>
      <c r="H396" s="307">
        <f t="shared" ca="1" si="186"/>
        <v>-53.460204604594722</v>
      </c>
      <c r="I396" s="304">
        <f t="shared" ca="1" si="187"/>
        <v>57.400073254850732</v>
      </c>
      <c r="J396" s="306">
        <f t="shared" ca="1" si="188"/>
        <v>550.09452525345876</v>
      </c>
      <c r="K396" s="307">
        <f t="shared" ca="1" si="189"/>
        <v>1154.5090531375213</v>
      </c>
      <c r="L396" s="304">
        <f t="shared" ca="1" si="174"/>
        <v>1278.8647858512347</v>
      </c>
      <c r="M396" s="306">
        <f t="shared" ca="1" si="190"/>
        <v>-1.1981338813712796</v>
      </c>
      <c r="N396" s="304">
        <f t="shared" ca="1" si="191"/>
        <v>-68.648014694202374</v>
      </c>
      <c r="P396" s="310">
        <f t="shared" ca="1" si="192"/>
        <v>23</v>
      </c>
      <c r="Q396" s="304">
        <f t="shared" ca="1" si="193"/>
        <v>0</v>
      </c>
      <c r="R396" s="306">
        <f t="shared" ca="1" si="194"/>
        <v>0</v>
      </c>
      <c r="S396" s="307">
        <f t="shared" ca="1" si="195"/>
        <v>7.9769999999999968</v>
      </c>
      <c r="T396" s="304">
        <f t="shared" ca="1" si="175"/>
        <v>78.254369999999966</v>
      </c>
      <c r="U396" s="311">
        <f t="shared" ca="1" si="176"/>
        <v>0</v>
      </c>
      <c r="V396" s="306">
        <f t="shared" ca="1" si="177"/>
        <v>1.0912910506180049</v>
      </c>
      <c r="W396" s="304">
        <f t="shared" ca="1" si="178"/>
        <v>11.876791151041628</v>
      </c>
      <c r="Y396" s="314" t="str">
        <f t="shared" ca="1" si="196"/>
        <v/>
      </c>
      <c r="Z396" s="315" t="str">
        <f t="shared" ca="1" si="197"/>
        <v/>
      </c>
      <c r="AA396" s="316" t="str">
        <f t="shared" ca="1" si="198"/>
        <v/>
      </c>
      <c r="AC396" s="310" t="e">
        <f t="shared" ca="1" si="199"/>
        <v>#N/A</v>
      </c>
      <c r="AD396" s="323" t="e">
        <f t="shared" ca="1" si="200"/>
        <v>#N/A</v>
      </c>
      <c r="AE396" s="324" t="e">
        <f t="shared" ca="1" si="179"/>
        <v>#N/A</v>
      </c>
      <c r="AG396" s="306">
        <f t="shared" ca="1" si="201"/>
        <v>7.6653369319276372</v>
      </c>
      <c r="AH396" s="304">
        <f t="shared" ca="1" si="202"/>
        <v>-1.4485494839427724</v>
      </c>
    </row>
    <row r="397" spans="1:34" x14ac:dyDescent="0.2">
      <c r="A397" s="347">
        <f t="shared" ca="1" si="180"/>
        <v>0.1</v>
      </c>
      <c r="B397" s="304">
        <f t="shared" ca="1" si="181"/>
        <v>21.300000000000036</v>
      </c>
      <c r="D397" s="306">
        <f t="shared" ca="1" si="182"/>
        <v>-0.54209566451047386</v>
      </c>
      <c r="E397" s="307">
        <f t="shared" ca="1" si="183"/>
        <v>-8.4233153839367869</v>
      </c>
      <c r="F397" s="304">
        <f t="shared" ca="1" si="184"/>
        <v>8.4407410673913681</v>
      </c>
      <c r="G397" s="306">
        <f t="shared" ca="1" si="185"/>
        <v>20.844951500374087</v>
      </c>
      <c r="H397" s="307">
        <f t="shared" ca="1" si="186"/>
        <v>-54.302536142988401</v>
      </c>
      <c r="I397" s="304">
        <f t="shared" ca="1" si="187"/>
        <v>58.165947380004994</v>
      </c>
      <c r="J397" s="306">
        <f t="shared" ca="1" si="188"/>
        <v>552.18173088181868</v>
      </c>
      <c r="K397" s="307">
        <f t="shared" ca="1" si="189"/>
        <v>1149.120916100142</v>
      </c>
      <c r="L397" s="304">
        <f t="shared" ca="1" si="174"/>
        <v>1274.9053077536664</v>
      </c>
      <c r="M397" s="306">
        <f t="shared" ca="1" si="190"/>
        <v>-1.2042746019640378</v>
      </c>
      <c r="N397" s="304">
        <f t="shared" ca="1" si="191"/>
        <v>-68.999852067336491</v>
      </c>
      <c r="P397" s="310">
        <f t="shared" ca="1" si="192"/>
        <v>23</v>
      </c>
      <c r="Q397" s="304">
        <f t="shared" ca="1" si="193"/>
        <v>0</v>
      </c>
      <c r="R397" s="306">
        <f t="shared" ca="1" si="194"/>
        <v>0</v>
      </c>
      <c r="S397" s="307">
        <f t="shared" ca="1" si="195"/>
        <v>7.9769999999999968</v>
      </c>
      <c r="T397" s="304">
        <f t="shared" ca="1" si="175"/>
        <v>78.254369999999966</v>
      </c>
      <c r="U397" s="311">
        <f t="shared" ca="1" si="176"/>
        <v>0</v>
      </c>
      <c r="V397" s="306">
        <f t="shared" ca="1" si="177"/>
        <v>1.0918811694058586</v>
      </c>
      <c r="W397" s="304">
        <f t="shared" ca="1" si="178"/>
        <v>12.202438317330664</v>
      </c>
      <c r="Y397" s="314" t="str">
        <f t="shared" ca="1" si="196"/>
        <v/>
      </c>
      <c r="Z397" s="315" t="str">
        <f t="shared" ca="1" si="197"/>
        <v/>
      </c>
      <c r="AA397" s="316" t="str">
        <f t="shared" ca="1" si="198"/>
        <v/>
      </c>
      <c r="AC397" s="310" t="e">
        <f t="shared" ca="1" si="199"/>
        <v>#N/A</v>
      </c>
      <c r="AD397" s="323" t="e">
        <f t="shared" ca="1" si="200"/>
        <v>#N/A</v>
      </c>
      <c r="AE397" s="324" t="e">
        <f t="shared" ca="1" si="179"/>
        <v>#N/A</v>
      </c>
      <c r="AG397" s="306">
        <f t="shared" ca="1" si="201"/>
        <v>7.6477745475866907</v>
      </c>
      <c r="AH397" s="304">
        <f t="shared" ca="1" si="202"/>
        <v>-1.488879422219084</v>
      </c>
    </row>
    <row r="398" spans="1:34" x14ac:dyDescent="0.2">
      <c r="A398" s="347">
        <f t="shared" ca="1" si="180"/>
        <v>0.1</v>
      </c>
      <c r="B398" s="304">
        <f t="shared" ca="1" si="181"/>
        <v>21.400000000000038</v>
      </c>
      <c r="D398" s="306">
        <f t="shared" ca="1" si="182"/>
        <v>-0.54820010182433687</v>
      </c>
      <c r="E398" s="307">
        <f t="shared" ca="1" si="183"/>
        <v>-8.3819009304304828</v>
      </c>
      <c r="F398" s="304">
        <f t="shared" ca="1" si="184"/>
        <v>8.3998087215835824</v>
      </c>
      <c r="G398" s="306">
        <f t="shared" ca="1" si="185"/>
        <v>20.790131490191655</v>
      </c>
      <c r="H398" s="307">
        <f t="shared" ca="1" si="186"/>
        <v>-55.140726236031448</v>
      </c>
      <c r="I398" s="304">
        <f t="shared" ca="1" si="187"/>
        <v>58.929867276419564</v>
      </c>
      <c r="J398" s="306">
        <f t="shared" ca="1" si="188"/>
        <v>554.26348503134693</v>
      </c>
      <c r="K398" s="307">
        <f t="shared" ca="1" si="189"/>
        <v>1143.6487529811911</v>
      </c>
      <c r="L398" s="304">
        <f t="shared" ca="1" si="174"/>
        <v>1270.8817730357641</v>
      </c>
      <c r="M398" s="306">
        <f t="shared" ca="1" si="190"/>
        <v>-1.2102403952836103</v>
      </c>
      <c r="N398" s="304">
        <f t="shared" ca="1" si="191"/>
        <v>-69.341666845995334</v>
      </c>
      <c r="P398" s="310">
        <f t="shared" ca="1" si="192"/>
        <v>23</v>
      </c>
      <c r="Q398" s="304">
        <f t="shared" ca="1" si="193"/>
        <v>0</v>
      </c>
      <c r="R398" s="306">
        <f t="shared" ca="1" si="194"/>
        <v>0</v>
      </c>
      <c r="S398" s="307">
        <f t="shared" ca="1" si="195"/>
        <v>7.9769999999999968</v>
      </c>
      <c r="T398" s="304">
        <f t="shared" ca="1" si="175"/>
        <v>78.254369999999966</v>
      </c>
      <c r="U398" s="311">
        <f t="shared" ca="1" si="176"/>
        <v>0</v>
      </c>
      <c r="V398" s="306">
        <f t="shared" ca="1" si="177"/>
        <v>1.0924807987240681</v>
      </c>
      <c r="W398" s="304">
        <f t="shared" ca="1" si="178"/>
        <v>12.531941854711768</v>
      </c>
      <c r="Y398" s="314" t="str">
        <f t="shared" ca="1" si="196"/>
        <v/>
      </c>
      <c r="Z398" s="315" t="str">
        <f t="shared" ca="1" si="197"/>
        <v/>
      </c>
      <c r="AA398" s="316" t="str">
        <f t="shared" ca="1" si="198"/>
        <v/>
      </c>
      <c r="AC398" s="310" t="e">
        <f t="shared" ca="1" si="199"/>
        <v>#N/A</v>
      </c>
      <c r="AD398" s="323" t="e">
        <f t="shared" ca="1" si="200"/>
        <v>#N/A</v>
      </c>
      <c r="AE398" s="324" t="e">
        <f t="shared" ca="1" si="179"/>
        <v>#N/A</v>
      </c>
      <c r="AG398" s="306">
        <f t="shared" ca="1" si="201"/>
        <v>7.6287122220785317</v>
      </c>
      <c r="AH398" s="304">
        <f t="shared" ca="1" si="202"/>
        <v>-1.529702684885379</v>
      </c>
    </row>
    <row r="399" spans="1:34" x14ac:dyDescent="0.2">
      <c r="A399" s="347">
        <f t="shared" ca="1" si="180"/>
        <v>0.1</v>
      </c>
      <c r="B399" s="304">
        <f t="shared" ca="1" si="181"/>
        <v>21.500000000000039</v>
      </c>
      <c r="D399" s="306">
        <f t="shared" ca="1" si="182"/>
        <v>-0.55424342818703409</v>
      </c>
      <c r="E399" s="307">
        <f t="shared" ca="1" si="183"/>
        <v>-8.3400052019296265</v>
      </c>
      <c r="F399" s="304">
        <f t="shared" ca="1" si="184"/>
        <v>8.3584013151978862</v>
      </c>
      <c r="G399" s="306">
        <f t="shared" ca="1" si="185"/>
        <v>20.734707147372951</v>
      </c>
      <c r="H399" s="307">
        <f t="shared" ca="1" si="186"/>
        <v>-55.974726756224413</v>
      </c>
      <c r="I399" s="304">
        <f t="shared" ca="1" si="187"/>
        <v>59.69169218510482</v>
      </c>
      <c r="J399" s="306">
        <f t="shared" ca="1" si="188"/>
        <v>556.33972696322519</v>
      </c>
      <c r="K399" s="307">
        <f t="shared" ca="1" si="189"/>
        <v>1138.0929803315782</v>
      </c>
      <c r="L399" s="304">
        <f t="shared" ca="1" si="174"/>
        <v>1266.7949809174056</v>
      </c>
      <c r="M399" s="306">
        <f t="shared" ca="1" si="190"/>
        <v>-1.2160384101292723</v>
      </c>
      <c r="N399" s="304">
        <f t="shared" ca="1" si="191"/>
        <v>-69.673868626205959</v>
      </c>
      <c r="P399" s="310">
        <f t="shared" ca="1" si="192"/>
        <v>23</v>
      </c>
      <c r="Q399" s="304">
        <f t="shared" ca="1" si="193"/>
        <v>0</v>
      </c>
      <c r="R399" s="306">
        <f t="shared" ca="1" si="194"/>
        <v>0</v>
      </c>
      <c r="S399" s="307">
        <f t="shared" ca="1" si="195"/>
        <v>7.9769999999999968</v>
      </c>
      <c r="T399" s="304">
        <f t="shared" ca="1" si="175"/>
        <v>78.254369999999966</v>
      </c>
      <c r="U399" s="311">
        <f t="shared" ca="1" si="176"/>
        <v>0</v>
      </c>
      <c r="V399" s="306">
        <f t="shared" ca="1" si="177"/>
        <v>1.0930899074288856</v>
      </c>
      <c r="W399" s="304">
        <f t="shared" ca="1" si="178"/>
        <v>12.865222412391999</v>
      </c>
      <c r="Y399" s="314" t="str">
        <f t="shared" ca="1" si="196"/>
        <v/>
      </c>
      <c r="Z399" s="315" t="str">
        <f t="shared" ca="1" si="197"/>
        <v/>
      </c>
      <c r="AA399" s="316" t="str">
        <f t="shared" ca="1" si="198"/>
        <v/>
      </c>
      <c r="AC399" s="310" t="e">
        <f t="shared" ca="1" si="199"/>
        <v>#N/A</v>
      </c>
      <c r="AD399" s="323" t="e">
        <f t="shared" ca="1" si="200"/>
        <v>#N/A</v>
      </c>
      <c r="AE399" s="324" t="e">
        <f t="shared" ca="1" si="179"/>
        <v>#N/A</v>
      </c>
      <c r="AG399" s="306">
        <f t="shared" ca="1" si="201"/>
        <v>7.6082158439970158</v>
      </c>
      <c r="AH399" s="304">
        <f t="shared" ca="1" si="202"/>
        <v>-1.5710093838174468</v>
      </c>
    </row>
    <row r="400" spans="1:34" x14ac:dyDescent="0.2">
      <c r="A400" s="347">
        <f t="shared" ca="1" si="180"/>
        <v>0.1</v>
      </c>
      <c r="B400" s="304">
        <f t="shared" ca="1" si="181"/>
        <v>21.600000000000041</v>
      </c>
      <c r="D400" s="306">
        <f t="shared" ca="1" si="182"/>
        <v>-0.56022401497823171</v>
      </c>
      <c r="E400" s="307">
        <f t="shared" ca="1" si="183"/>
        <v>-8.2976378558037887</v>
      </c>
      <c r="F400" s="304">
        <f t="shared" ca="1" si="184"/>
        <v>8.3165284183381729</v>
      </c>
      <c r="G400" s="306">
        <f t="shared" ca="1" si="185"/>
        <v>20.678684745875128</v>
      </c>
      <c r="H400" s="307">
        <f t="shared" ca="1" si="186"/>
        <v>-56.804490541804789</v>
      </c>
      <c r="I400" s="304">
        <f t="shared" ca="1" si="187"/>
        <v>60.451287401785564</v>
      </c>
      <c r="J400" s="306">
        <f t="shared" ca="1" si="188"/>
        <v>558.41039655788757</v>
      </c>
      <c r="K400" s="307">
        <f t="shared" ca="1" si="189"/>
        <v>1132.4540194666768</v>
      </c>
      <c r="L400" s="304">
        <f t="shared" ca="1" si="174"/>
        <v>1262.6457449301327</v>
      </c>
      <c r="M400" s="306">
        <f t="shared" ca="1" si="190"/>
        <v>-1.2216754326285277</v>
      </c>
      <c r="N400" s="304">
        <f t="shared" ca="1" si="191"/>
        <v>-69.996846224433583</v>
      </c>
      <c r="P400" s="310">
        <f t="shared" ca="1" si="192"/>
        <v>23</v>
      </c>
      <c r="Q400" s="304">
        <f t="shared" ca="1" si="193"/>
        <v>0</v>
      </c>
      <c r="R400" s="306">
        <f t="shared" ca="1" si="194"/>
        <v>0</v>
      </c>
      <c r="S400" s="307">
        <f t="shared" ca="1" si="195"/>
        <v>7.9769999999999968</v>
      </c>
      <c r="T400" s="304">
        <f t="shared" ca="1" si="175"/>
        <v>78.254369999999966</v>
      </c>
      <c r="U400" s="311">
        <f t="shared" ca="1" si="176"/>
        <v>0</v>
      </c>
      <c r="V400" s="306">
        <f t="shared" ca="1" si="177"/>
        <v>1.0937084639986654</v>
      </c>
      <c r="W400" s="304">
        <f t="shared" ca="1" si="178"/>
        <v>13.202200200991539</v>
      </c>
      <c r="Y400" s="314" t="str">
        <f t="shared" ca="1" si="196"/>
        <v/>
      </c>
      <c r="Z400" s="315" t="str">
        <f t="shared" ca="1" si="197"/>
        <v/>
      </c>
      <c r="AA400" s="316" t="str">
        <f t="shared" ca="1" si="198"/>
        <v/>
      </c>
      <c r="AC400" s="310" t="e">
        <f t="shared" ca="1" si="199"/>
        <v>#N/A</v>
      </c>
      <c r="AD400" s="323" t="e">
        <f t="shared" ca="1" si="200"/>
        <v>#N/A</v>
      </c>
      <c r="AE400" s="324" t="e">
        <f t="shared" ca="1" si="179"/>
        <v>#N/A</v>
      </c>
      <c r="AG400" s="306">
        <f t="shared" ca="1" si="201"/>
        <v>7.5863476848495441</v>
      </c>
      <c r="AH400" s="304">
        <f t="shared" ca="1" si="202"/>
        <v>-1.6127895715672564</v>
      </c>
    </row>
    <row r="401" spans="1:34" x14ac:dyDescent="0.2">
      <c r="A401" s="347">
        <f t="shared" ca="1" si="180"/>
        <v>0.1</v>
      </c>
      <c r="B401" s="304">
        <f t="shared" ca="1" si="181"/>
        <v>21.700000000000042</v>
      </c>
      <c r="D401" s="306">
        <f t="shared" ca="1" si="182"/>
        <v>-0.56614031235457962</v>
      </c>
      <c r="E401" s="307">
        <f t="shared" ca="1" si="183"/>
        <v>-8.2548086319950755</v>
      </c>
      <c r="F401" s="304">
        <f t="shared" ca="1" si="184"/>
        <v>8.2741996836028413</v>
      </c>
      <c r="G401" s="306">
        <f t="shared" ca="1" si="185"/>
        <v>20.622070714639669</v>
      </c>
      <c r="H401" s="307">
        <f t="shared" ca="1" si="186"/>
        <v>-57.629971405004298</v>
      </c>
      <c r="I401" s="304">
        <f t="shared" ca="1" si="187"/>
        <v>61.208523954603024</v>
      </c>
      <c r="J401" s="306">
        <f t="shared" ca="1" si="188"/>
        <v>560.47543433091334</v>
      </c>
      <c r="K401" s="307">
        <f t="shared" ca="1" si="189"/>
        <v>1126.7322963693364</v>
      </c>
      <c r="L401" s="304">
        <f t="shared" ca="1" si="174"/>
        <v>1258.4348930994181</v>
      </c>
      <c r="M401" s="306">
        <f t="shared" ca="1" si="190"/>
        <v>-1.2271579073062522</v>
      </c>
      <c r="N401" s="304">
        <f t="shared" ca="1" si="191"/>
        <v>-70.310968884754544</v>
      </c>
      <c r="P401" s="310">
        <f t="shared" ca="1" si="192"/>
        <v>23</v>
      </c>
      <c r="Q401" s="304">
        <f t="shared" ca="1" si="193"/>
        <v>0</v>
      </c>
      <c r="R401" s="306">
        <f t="shared" ca="1" si="194"/>
        <v>0</v>
      </c>
      <c r="S401" s="307">
        <f t="shared" ca="1" si="195"/>
        <v>7.9769999999999968</v>
      </c>
      <c r="T401" s="304">
        <f t="shared" ca="1" si="175"/>
        <v>78.254369999999966</v>
      </c>
      <c r="U401" s="311">
        <f t="shared" ca="1" si="176"/>
        <v>0</v>
      </c>
      <c r="V401" s="306">
        <f t="shared" ca="1" si="177"/>
        <v>1.0943364365401993</v>
      </c>
      <c r="W401" s="304">
        <f t="shared" ca="1" si="178"/>
        <v>13.542795027164843</v>
      </c>
      <c r="Y401" s="314" t="str">
        <f t="shared" ca="1" si="196"/>
        <v/>
      </c>
      <c r="Z401" s="315" t="str">
        <f t="shared" ca="1" si="197"/>
        <v/>
      </c>
      <c r="AA401" s="316" t="str">
        <f t="shared" ca="1" si="198"/>
        <v/>
      </c>
      <c r="AC401" s="310" t="e">
        <f t="shared" ca="1" si="199"/>
        <v>#N/A</v>
      </c>
      <c r="AD401" s="323" t="e">
        <f t="shared" ca="1" si="200"/>
        <v>#N/A</v>
      </c>
      <c r="AE401" s="324" t="e">
        <f t="shared" ca="1" si="179"/>
        <v>#N/A</v>
      </c>
      <c r="AG401" s="306">
        <f t="shared" ca="1" si="201"/>
        <v>7.563166666421675</v>
      </c>
      <c r="AH401" s="304">
        <f t="shared" ca="1" si="202"/>
        <v>-1.655033245705346</v>
      </c>
    </row>
    <row r="402" spans="1:34" x14ac:dyDescent="0.2">
      <c r="A402" s="347">
        <f t="shared" ca="1" si="180"/>
        <v>0.1</v>
      </c>
      <c r="B402" s="304">
        <f t="shared" ca="1" si="181"/>
        <v>21.800000000000043</v>
      </c>
      <c r="D402" s="306">
        <f t="shared" ca="1" si="182"/>
        <v>-0.57199084596847682</v>
      </c>
      <c r="E402" s="307">
        <f t="shared" ca="1" si="183"/>
        <v>-8.2115273464421588</v>
      </c>
      <c r="F402" s="304">
        <f t="shared" ca="1" si="184"/>
        <v>8.2314248395547622</v>
      </c>
      <c r="G402" s="306">
        <f t="shared" ca="1" si="185"/>
        <v>20.56487163004282</v>
      </c>
      <c r="H402" s="307">
        <f t="shared" ca="1" si="186"/>
        <v>-58.451124139648513</v>
      </c>
      <c r="I402" s="304">
        <f t="shared" ca="1" si="187"/>
        <v>61.963278305370039</v>
      </c>
      <c r="J402" s="306">
        <f t="shared" ca="1" si="188"/>
        <v>562.53478144814744</v>
      </c>
      <c r="K402" s="307">
        <f t="shared" ca="1" si="189"/>
        <v>1120.9282415921036</v>
      </c>
      <c r="L402" s="304">
        <f t="shared" ca="1" si="174"/>
        <v>1254.1632681344486</v>
      </c>
      <c r="M402" s="306">
        <f t="shared" ca="1" si="190"/>
        <v>-1.2324919568470749</v>
      </c>
      <c r="N402" s="304">
        <f t="shared" ca="1" si="191"/>
        <v>-70.616587411157383</v>
      </c>
      <c r="P402" s="310">
        <f t="shared" ca="1" si="192"/>
        <v>23</v>
      </c>
      <c r="Q402" s="304">
        <f t="shared" ca="1" si="193"/>
        <v>0</v>
      </c>
      <c r="R402" s="306">
        <f t="shared" ca="1" si="194"/>
        <v>0</v>
      </c>
      <c r="S402" s="307">
        <f t="shared" ca="1" si="195"/>
        <v>7.9769999999999968</v>
      </c>
      <c r="T402" s="304">
        <f t="shared" ca="1" si="175"/>
        <v>78.254369999999966</v>
      </c>
      <c r="U402" s="311">
        <f t="shared" ca="1" si="176"/>
        <v>0</v>
      </c>
      <c r="V402" s="306">
        <f t="shared" ca="1" si="177"/>
        <v>1.0949737927951202</v>
      </c>
      <c r="W402" s="304">
        <f t="shared" ca="1" si="178"/>
        <v>13.886926328173201</v>
      </c>
      <c r="Y402" s="314" t="str">
        <f t="shared" ca="1" si="196"/>
        <v/>
      </c>
      <c r="Z402" s="315" t="str">
        <f t="shared" ca="1" si="197"/>
        <v/>
      </c>
      <c r="AA402" s="316" t="str">
        <f t="shared" ca="1" si="198"/>
        <v/>
      </c>
      <c r="AC402" s="310" t="e">
        <f t="shared" ca="1" si="199"/>
        <v>#N/A</v>
      </c>
      <c r="AD402" s="323" t="e">
        <f t="shared" ca="1" si="200"/>
        <v>#N/A</v>
      </c>
      <c r="AE402" s="324" t="e">
        <f t="shared" ca="1" si="179"/>
        <v>#N/A</v>
      </c>
      <c r="AG402" s="306">
        <f t="shared" ca="1" si="201"/>
        <v>7.5387286064179442</v>
      </c>
      <c r="AH402" s="304">
        <f t="shared" ca="1" si="202"/>
        <v>-1.6977303531609438</v>
      </c>
    </row>
    <row r="403" spans="1:34" x14ac:dyDescent="0.2">
      <c r="A403" s="347">
        <f t="shared" ca="1" si="180"/>
        <v>0.1</v>
      </c>
      <c r="B403" s="304">
        <f t="shared" ca="1" si="181"/>
        <v>21.900000000000045</v>
      </c>
      <c r="D403" s="306">
        <f t="shared" ca="1" si="182"/>
        <v>-0.57777421391585893</v>
      </c>
      <c r="E403" s="307">
        <f t="shared" ca="1" si="183"/>
        <v>-8.1678038847104943</v>
      </c>
      <c r="F403" s="304">
        <f t="shared" ca="1" si="184"/>
        <v>8.1882136843977111</v>
      </c>
      <c r="G403" s="306">
        <f t="shared" ca="1" si="185"/>
        <v>20.507094208651235</v>
      </c>
      <c r="H403" s="307">
        <f t="shared" ca="1" si="186"/>
        <v>-59.267904528119566</v>
      </c>
      <c r="I403" s="304">
        <f t="shared" ca="1" si="187"/>
        <v>62.71543207247155</v>
      </c>
      <c r="J403" s="306">
        <f t="shared" ca="1" si="188"/>
        <v>564.58837974008213</v>
      </c>
      <c r="K403" s="307">
        <f t="shared" ca="1" si="189"/>
        <v>1115.0422901587153</v>
      </c>
      <c r="L403" s="304">
        <f t="shared" ca="1" si="174"/>
        <v>1249.8317276257328</v>
      </c>
      <c r="M403" s="306">
        <f t="shared" ca="1" si="190"/>
        <v>-1.2376834006289987</v>
      </c>
      <c r="N403" s="304">
        <f t="shared" ca="1" si="191"/>
        <v>-70.914035229441041</v>
      </c>
      <c r="P403" s="310">
        <f t="shared" ca="1" si="192"/>
        <v>23</v>
      </c>
      <c r="Q403" s="304">
        <f t="shared" ca="1" si="193"/>
        <v>0</v>
      </c>
      <c r="R403" s="306">
        <f t="shared" ca="1" si="194"/>
        <v>0</v>
      </c>
      <c r="S403" s="307">
        <f t="shared" ca="1" si="195"/>
        <v>7.9769999999999968</v>
      </c>
      <c r="T403" s="304">
        <f t="shared" ca="1" si="175"/>
        <v>78.254369999999966</v>
      </c>
      <c r="U403" s="311">
        <f t="shared" ca="1" si="176"/>
        <v>0</v>
      </c>
      <c r="V403" s="306">
        <f t="shared" ca="1" si="177"/>
        <v>1.0956205001463761</v>
      </c>
      <c r="W403" s="304">
        <f t="shared" ca="1" si="178"/>
        <v>14.234513206379557</v>
      </c>
      <c r="Y403" s="314" t="str">
        <f t="shared" ca="1" si="196"/>
        <v/>
      </c>
      <c r="Z403" s="315" t="str">
        <f t="shared" ca="1" si="197"/>
        <v/>
      </c>
      <c r="AA403" s="316" t="str">
        <f t="shared" ca="1" si="198"/>
        <v/>
      </c>
      <c r="AC403" s="310" t="e">
        <f t="shared" ca="1" si="199"/>
        <v>#N/A</v>
      </c>
      <c r="AD403" s="323" t="e">
        <f t="shared" ca="1" si="200"/>
        <v>#N/A</v>
      </c>
      <c r="AE403" s="324" t="e">
        <f t="shared" ca="1" si="179"/>
        <v>#N/A</v>
      </c>
      <c r="AG403" s="306">
        <f t="shared" ca="1" si="201"/>
        <v>7.5130864441825747</v>
      </c>
      <c r="AH403" s="304">
        <f t="shared" ca="1" si="202"/>
        <v>-1.7408707945559994</v>
      </c>
    </row>
    <row r="404" spans="1:34" x14ac:dyDescent="0.2">
      <c r="A404" s="347">
        <f t="shared" ca="1" si="180"/>
        <v>0.1</v>
      </c>
      <c r="B404" s="304">
        <f t="shared" ca="1" si="181"/>
        <v>22.000000000000046</v>
      </c>
      <c r="D404" s="306">
        <f t="shared" ca="1" si="182"/>
        <v>-0.58348908389358223</v>
      </c>
      <c r="E404" s="307">
        <f t="shared" ca="1" si="183"/>
        <v>-8.1236481958123665</v>
      </c>
      <c r="F404" s="304">
        <f t="shared" ca="1" si="184"/>
        <v>8.1445760798428601</v>
      </c>
      <c r="G404" s="306">
        <f t="shared" ca="1" si="185"/>
        <v>20.448745300261876</v>
      </c>
      <c r="H404" s="307">
        <f t="shared" ca="1" si="186"/>
        <v>-60.080269347700799</v>
      </c>
      <c r="I404" s="304">
        <f t="shared" ca="1" si="187"/>
        <v>63.464871773661208</v>
      </c>
      <c r="J404" s="306">
        <f t="shared" ca="1" si="188"/>
        <v>566.63617171552778</v>
      </c>
      <c r="K404" s="307">
        <f t="shared" ca="1" si="189"/>
        <v>1109.0748814649244</v>
      </c>
      <c r="L404" s="304">
        <f t="shared" ca="1" si="174"/>
        <v>1245.4411442508494</v>
      </c>
      <c r="M404" s="306">
        <f t="shared" ca="1" si="190"/>
        <v>-1.2427377721030333</v>
      </c>
      <c r="N404" s="304">
        <f t="shared" ca="1" si="191"/>
        <v>-71.203629382994535</v>
      </c>
      <c r="P404" s="310">
        <f t="shared" ca="1" si="192"/>
        <v>23</v>
      </c>
      <c r="Q404" s="304">
        <f t="shared" ca="1" si="193"/>
        <v>0</v>
      </c>
      <c r="R404" s="306">
        <f t="shared" ca="1" si="194"/>
        <v>0</v>
      </c>
      <c r="S404" s="307">
        <f t="shared" ca="1" si="195"/>
        <v>7.9769999999999968</v>
      </c>
      <c r="T404" s="304">
        <f t="shared" ca="1" si="175"/>
        <v>78.254369999999966</v>
      </c>
      <c r="U404" s="311">
        <f t="shared" ca="1" si="176"/>
        <v>0</v>
      </c>
      <c r="V404" s="306">
        <f t="shared" ca="1" si="177"/>
        <v>1.0962765256247702</v>
      </c>
      <c r="W404" s="304">
        <f t="shared" ca="1" si="178"/>
        <v>14.585474463636919</v>
      </c>
      <c r="Y404" s="314" t="str">
        <f t="shared" ca="1" si="196"/>
        <v/>
      </c>
      <c r="Z404" s="315" t="str">
        <f t="shared" ca="1" si="197"/>
        <v/>
      </c>
      <c r="AA404" s="316" t="str">
        <f t="shared" ca="1" si="198"/>
        <v/>
      </c>
      <c r="AC404" s="310">
        <f t="shared" ca="1" si="199"/>
        <v>22.000000000000046</v>
      </c>
      <c r="AD404" s="323">
        <f t="shared" ca="1" si="200"/>
        <v>566.63617171552778</v>
      </c>
      <c r="AE404" s="324" t="e">
        <f t="shared" ca="1" si="179"/>
        <v>#N/A</v>
      </c>
      <c r="AG404" s="306">
        <f t="shared" ca="1" si="201"/>
        <v>7.486290448159072</v>
      </c>
      <c r="AH404" s="304">
        <f t="shared" ca="1" si="202"/>
        <v>-1.7844444285294676</v>
      </c>
    </row>
    <row r="405" spans="1:34" x14ac:dyDescent="0.2">
      <c r="A405" s="347">
        <f t="shared" ca="1" si="180"/>
        <v>0.1</v>
      </c>
      <c r="B405" s="304">
        <f t="shared" ca="1" si="181"/>
        <v>22.100000000000048</v>
      </c>
      <c r="D405" s="306">
        <f t="shared" ca="1" si="182"/>
        <v>-0.58913419054861471</v>
      </c>
      <c r="E405" s="307">
        <f t="shared" ca="1" si="183"/>
        <v>-8.0790702862024908</v>
      </c>
      <c r="F405" s="304">
        <f t="shared" ca="1" si="184"/>
        <v>8.1005219451510264</v>
      </c>
      <c r="G405" s="306">
        <f t="shared" ca="1" si="185"/>
        <v>20.389831881207016</v>
      </c>
      <c r="H405" s="307">
        <f t="shared" ca="1" si="186"/>
        <v>-60.888176376321049</v>
      </c>
      <c r="I405" s="304">
        <f t="shared" ca="1" si="187"/>
        <v>64.211488587151337</v>
      </c>
      <c r="J405" s="306">
        <f t="shared" ca="1" si="188"/>
        <v>568.67810057460122</v>
      </c>
      <c r="K405" s="307">
        <f t="shared" ca="1" si="189"/>
        <v>1103.0264591787234</v>
      </c>
      <c r="L405" s="304">
        <f t="shared" ca="1" si="174"/>
        <v>1240.9924059886459</v>
      </c>
      <c r="M405" s="306">
        <f t="shared" ca="1" si="190"/>
        <v>-1.2476603350901909</v>
      </c>
      <c r="N405" s="304">
        <f t="shared" ca="1" si="191"/>
        <v>-71.48567146654598</v>
      </c>
      <c r="P405" s="310">
        <f t="shared" ca="1" si="192"/>
        <v>23</v>
      </c>
      <c r="Q405" s="304">
        <f t="shared" ca="1" si="193"/>
        <v>0</v>
      </c>
      <c r="R405" s="306">
        <f t="shared" ca="1" si="194"/>
        <v>0</v>
      </c>
      <c r="S405" s="307">
        <f t="shared" ca="1" si="195"/>
        <v>7.9769999999999968</v>
      </c>
      <c r="T405" s="304">
        <f t="shared" ca="1" si="175"/>
        <v>78.254369999999966</v>
      </c>
      <c r="U405" s="311">
        <f t="shared" ca="1" si="176"/>
        <v>0</v>
      </c>
      <c r="V405" s="306">
        <f t="shared" ca="1" si="177"/>
        <v>1.0969418359155561</v>
      </c>
      <c r="W405" s="304">
        <f t="shared" ca="1" si="178"/>
        <v>14.939728635542979</v>
      </c>
      <c r="Y405" s="314" t="str">
        <f t="shared" ca="1" si="196"/>
        <v/>
      </c>
      <c r="Z405" s="315" t="str">
        <f t="shared" ca="1" si="197"/>
        <v/>
      </c>
      <c r="AA405" s="316" t="str">
        <f t="shared" ca="1" si="198"/>
        <v/>
      </c>
      <c r="AC405" s="310" t="e">
        <f t="shared" ca="1" si="199"/>
        <v>#N/A</v>
      </c>
      <c r="AD405" s="323" t="e">
        <f t="shared" ca="1" si="200"/>
        <v>#N/A</v>
      </c>
      <c r="AE405" s="324" t="e">
        <f t="shared" ca="1" si="179"/>
        <v>#N/A</v>
      </c>
      <c r="AG405" s="306">
        <f t="shared" ca="1" si="201"/>
        <v>7.4583884066128716</v>
      </c>
      <c r="AH405" s="304">
        <f t="shared" ca="1" si="202"/>
        <v>-1.8284410760482543</v>
      </c>
    </row>
    <row r="406" spans="1:34" x14ac:dyDescent="0.2">
      <c r="A406" s="347">
        <f t="shared" ca="1" si="180"/>
        <v>0.1</v>
      </c>
      <c r="B406" s="304">
        <f t="shared" ca="1" si="181"/>
        <v>22.200000000000049</v>
      </c>
      <c r="D406" s="306">
        <f t="shared" ca="1" si="182"/>
        <v>-0.59470833300277803</v>
      </c>
      <c r="E406" s="307">
        <f t="shared" ca="1" si="183"/>
        <v>-8.0340802139366421</v>
      </c>
      <c r="F406" s="304">
        <f t="shared" ca="1" si="184"/>
        <v>8.0560612513380985</v>
      </c>
      <c r="G406" s="306">
        <f t="shared" ca="1" si="185"/>
        <v>20.330361047906738</v>
      </c>
      <c r="H406" s="307">
        <f t="shared" ca="1" si="186"/>
        <v>-61.691584397714713</v>
      </c>
      <c r="I406" s="304">
        <f t="shared" ca="1" si="187"/>
        <v>64.955178129527141</v>
      </c>
      <c r="J406" s="306">
        <f t="shared" ca="1" si="188"/>
        <v>570.7141102210569</v>
      </c>
      <c r="K406" s="307">
        <f t="shared" ca="1" si="189"/>
        <v>1096.8974711400215</v>
      </c>
      <c r="L406" s="304">
        <f t="shared" ca="1" si="174"/>
        <v>1236.4864163422042</v>
      </c>
      <c r="M406" s="306">
        <f t="shared" ca="1" si="190"/>
        <v>-1.2524560990636553</v>
      </c>
      <c r="N406" s="304">
        <f t="shared" ca="1" si="191"/>
        <v>-71.76044850176639</v>
      </c>
      <c r="P406" s="310">
        <f t="shared" ca="1" si="192"/>
        <v>23</v>
      </c>
      <c r="Q406" s="304">
        <f t="shared" ca="1" si="193"/>
        <v>0</v>
      </c>
      <c r="R406" s="306">
        <f t="shared" ca="1" si="194"/>
        <v>0</v>
      </c>
      <c r="S406" s="307">
        <f t="shared" ca="1" si="195"/>
        <v>7.9769999999999968</v>
      </c>
      <c r="T406" s="304">
        <f t="shared" ca="1" si="175"/>
        <v>78.254369999999966</v>
      </c>
      <c r="U406" s="311">
        <f t="shared" ca="1" si="176"/>
        <v>0</v>
      </c>
      <c r="V406" s="306">
        <f t="shared" ca="1" si="177"/>
        <v>1.0976163973650941</v>
      </c>
      <c r="W406" s="304">
        <f t="shared" ca="1" si="178"/>
        <v>15.297194025534166</v>
      </c>
      <c r="Y406" s="314" t="str">
        <f t="shared" ca="1" si="196"/>
        <v/>
      </c>
      <c r="Z406" s="315" t="str">
        <f t="shared" ca="1" si="197"/>
        <v/>
      </c>
      <c r="AA406" s="316" t="str">
        <f t="shared" ca="1" si="198"/>
        <v/>
      </c>
      <c r="AC406" s="310" t="e">
        <f t="shared" ca="1" si="199"/>
        <v>#N/A</v>
      </c>
      <c r="AD406" s="323" t="e">
        <f t="shared" ca="1" si="200"/>
        <v>#N/A</v>
      </c>
      <c r="AE406" s="324" t="e">
        <f t="shared" ca="1" si="179"/>
        <v>#N/A</v>
      </c>
      <c r="AG406" s="306">
        <f t="shared" ca="1" si="201"/>
        <v>7.4294258030153184</v>
      </c>
      <c r="AH406" s="304">
        <f t="shared" ca="1" si="202"/>
        <v>-1.8728505247013896</v>
      </c>
    </row>
    <row r="407" spans="1:34" x14ac:dyDescent="0.2">
      <c r="A407" s="347">
        <f t="shared" ca="1" si="180"/>
        <v>0.1</v>
      </c>
      <c r="B407" s="304">
        <f t="shared" ca="1" si="181"/>
        <v>22.30000000000005</v>
      </c>
      <c r="D407" s="306">
        <f t="shared" ca="1" si="182"/>
        <v>-0.60021037253816323</v>
      </c>
      <c r="E407" s="307">
        <f t="shared" ca="1" si="183"/>
        <v>-7.9886880829824527</v>
      </c>
      <c r="F407" s="304">
        <f t="shared" ca="1" si="184"/>
        <v>8.011204015532762</v>
      </c>
      <c r="G407" s="306">
        <f t="shared" ca="1" si="185"/>
        <v>20.270340010652923</v>
      </c>
      <c r="H407" s="307">
        <f t="shared" ca="1" si="186"/>
        <v>-62.490453206012958</v>
      </c>
      <c r="I407" s="304">
        <f t="shared" ca="1" si="187"/>
        <v>65.695840249138854</v>
      </c>
      <c r="J407" s="306">
        <f t="shared" ca="1" si="188"/>
        <v>572.74414527398483</v>
      </c>
      <c r="K407" s="307">
        <f t="shared" ca="1" si="189"/>
        <v>1090.6883692598351</v>
      </c>
      <c r="L407" s="304">
        <f t="shared" ca="1" si="174"/>
        <v>1231.9240945708896</v>
      </c>
      <c r="M407" s="306">
        <f t="shared" ca="1" si="190"/>
        <v>-1.2571298334803569</v>
      </c>
      <c r="N407" s="304">
        <f t="shared" ca="1" si="191"/>
        <v>-72.028233758408419</v>
      </c>
      <c r="P407" s="310">
        <f t="shared" ca="1" si="192"/>
        <v>23</v>
      </c>
      <c r="Q407" s="304">
        <f t="shared" ca="1" si="193"/>
        <v>0</v>
      </c>
      <c r="R407" s="306">
        <f t="shared" ca="1" si="194"/>
        <v>0</v>
      </c>
      <c r="S407" s="307">
        <f t="shared" ca="1" si="195"/>
        <v>7.9769999999999968</v>
      </c>
      <c r="T407" s="304">
        <f t="shared" ca="1" si="175"/>
        <v>78.254369999999966</v>
      </c>
      <c r="U407" s="311">
        <f t="shared" ca="1" si="176"/>
        <v>0</v>
      </c>
      <c r="V407" s="306">
        <f t="shared" ca="1" si="177"/>
        <v>1.0983001759875526</v>
      </c>
      <c r="W407" s="304">
        <f t="shared" ca="1" si="178"/>
        <v>15.657788738793144</v>
      </c>
      <c r="Y407" s="314" t="str">
        <f t="shared" ca="1" si="196"/>
        <v/>
      </c>
      <c r="Z407" s="315" t="str">
        <f t="shared" ca="1" si="197"/>
        <v/>
      </c>
      <c r="AA407" s="316" t="str">
        <f t="shared" ca="1" si="198"/>
        <v/>
      </c>
      <c r="AC407" s="310" t="e">
        <f t="shared" ca="1" si="199"/>
        <v>#N/A</v>
      </c>
      <c r="AD407" s="323" t="e">
        <f t="shared" ca="1" si="200"/>
        <v>#N/A</v>
      </c>
      <c r="AE407" s="324" t="e">
        <f t="shared" ca="1" si="179"/>
        <v>#N/A</v>
      </c>
      <c r="AG407" s="306">
        <f t="shared" ca="1" si="201"/>
        <v>7.3994459773707533</v>
      </c>
      <c r="AH407" s="304">
        <f t="shared" ca="1" si="202"/>
        <v>-1.917662532974072</v>
      </c>
    </row>
    <row r="408" spans="1:34" x14ac:dyDescent="0.2">
      <c r="A408" s="347">
        <f t="shared" ca="1" si="180"/>
        <v>0.1</v>
      </c>
      <c r="B408" s="304">
        <f t="shared" ca="1" si="181"/>
        <v>22.400000000000052</v>
      </c>
      <c r="D408" s="306">
        <f t="shared" ca="1" si="182"/>
        <v>-0.60563923042961043</v>
      </c>
      <c r="E408" s="307">
        <f t="shared" ca="1" si="183"/>
        <v>-7.9429040376729141</v>
      </c>
      <c r="F408" s="304">
        <f t="shared" ca="1" si="184"/>
        <v>7.9659602954770028</v>
      </c>
      <c r="G408" s="306">
        <f t="shared" ca="1" si="185"/>
        <v>20.209776087609963</v>
      </c>
      <c r="H408" s="307">
        <f t="shared" ca="1" si="186"/>
        <v>-63.28474360978025</v>
      </c>
      <c r="I408" s="304">
        <f t="shared" ca="1" si="187"/>
        <v>66.433378833738047</v>
      </c>
      <c r="J408" s="306">
        <f t="shared" ca="1" si="188"/>
        <v>574.76815107889797</v>
      </c>
      <c r="K408" s="307">
        <f t="shared" ca="1" si="189"/>
        <v>1084.3996094190454</v>
      </c>
      <c r="L408" s="304">
        <f t="shared" ca="1" si="174"/>
        <v>1227.3063759317936</v>
      </c>
      <c r="M408" s="306">
        <f t="shared" ca="1" si="190"/>
        <v>-1.2616860812226371</v>
      </c>
      <c r="N408" s="304">
        <f t="shared" ca="1" si="191"/>
        <v>-72.289287524457094</v>
      </c>
      <c r="P408" s="310">
        <f t="shared" ca="1" si="192"/>
        <v>23</v>
      </c>
      <c r="Q408" s="304">
        <f t="shared" ca="1" si="193"/>
        <v>0</v>
      </c>
      <c r="R408" s="306">
        <f t="shared" ca="1" si="194"/>
        <v>0</v>
      </c>
      <c r="S408" s="307">
        <f t="shared" ca="1" si="195"/>
        <v>7.9769999999999968</v>
      </c>
      <c r="T408" s="304">
        <f t="shared" ca="1" si="175"/>
        <v>78.254369999999966</v>
      </c>
      <c r="U408" s="311">
        <f t="shared" ca="1" si="176"/>
        <v>0</v>
      </c>
      <c r="V408" s="306">
        <f t="shared" ca="1" si="177"/>
        <v>1.0989931374716597</v>
      </c>
      <c r="W408" s="304">
        <f t="shared" ca="1" si="178"/>
        <v>16.021430715944913</v>
      </c>
      <c r="Y408" s="314" t="str">
        <f t="shared" ca="1" si="196"/>
        <v/>
      </c>
      <c r="Z408" s="315" t="str">
        <f t="shared" ca="1" si="197"/>
        <v/>
      </c>
      <c r="AA408" s="316" t="str">
        <f t="shared" ca="1" si="198"/>
        <v/>
      </c>
      <c r="AC408" s="310" t="e">
        <f t="shared" ca="1" si="199"/>
        <v>#N/A</v>
      </c>
      <c r="AD408" s="323" t="e">
        <f t="shared" ca="1" si="200"/>
        <v>#N/A</v>
      </c>
      <c r="AE408" s="324" t="e">
        <f t="shared" ca="1" si="179"/>
        <v>#N/A</v>
      </c>
      <c r="AG408" s="306">
        <f t="shared" ca="1" si="201"/>
        <v>7.3684902746608465</v>
      </c>
      <c r="AH408" s="304">
        <f t="shared" ca="1" si="202"/>
        <v>-1.9628668344983264</v>
      </c>
    </row>
    <row r="409" spans="1:34" x14ac:dyDescent="0.2">
      <c r="A409" s="347">
        <f t="shared" ca="1" si="180"/>
        <v>0.1</v>
      </c>
      <c r="B409" s="304">
        <f t="shared" ca="1" si="181"/>
        <v>22.500000000000053</v>
      </c>
      <c r="D409" s="306">
        <f t="shared" ca="1" si="182"/>
        <v>-0.61099388591182635</v>
      </c>
      <c r="E409" s="307">
        <f t="shared" ca="1" si="183"/>
        <v>-7.8967382572942695</v>
      </c>
      <c r="F409" s="304">
        <f t="shared" ca="1" si="184"/>
        <v>7.9203401841610681</v>
      </c>
      <c r="G409" s="306">
        <f t="shared" ca="1" si="185"/>
        <v>20.148676699018782</v>
      </c>
      <c r="H409" s="307">
        <f t="shared" ca="1" si="186"/>
        <v>-64.074417435509673</v>
      </c>
      <c r="I409" s="304">
        <f t="shared" ca="1" si="187"/>
        <v>67.167701631226947</v>
      </c>
      <c r="J409" s="306">
        <f t="shared" ca="1" si="188"/>
        <v>576.78607371822943</v>
      </c>
      <c r="K409" s="307">
        <f t="shared" ca="1" si="189"/>
        <v>1078.031651366781</v>
      </c>
      <c r="L409" s="304">
        <f t="shared" ca="1" si="174"/>
        <v>1222.6342119308945</v>
      </c>
      <c r="M409" s="306">
        <f t="shared" ca="1" si="190"/>
        <v>-1.2661291712071854</v>
      </c>
      <c r="N409" s="304">
        <f t="shared" ca="1" si="191"/>
        <v>-72.543857828568548</v>
      </c>
      <c r="P409" s="310">
        <f t="shared" ca="1" si="192"/>
        <v>23</v>
      </c>
      <c r="Q409" s="304">
        <f t="shared" ca="1" si="193"/>
        <v>0</v>
      </c>
      <c r="R409" s="306">
        <f t="shared" ca="1" si="194"/>
        <v>0</v>
      </c>
      <c r="S409" s="307">
        <f t="shared" ca="1" si="195"/>
        <v>7.9769999999999968</v>
      </c>
      <c r="T409" s="304">
        <f t="shared" ca="1" si="175"/>
        <v>78.254369999999966</v>
      </c>
      <c r="U409" s="311">
        <f t="shared" ca="1" si="176"/>
        <v>0</v>
      </c>
      <c r="V409" s="306">
        <f t="shared" ca="1" si="177"/>
        <v>1.0996952471874977</v>
      </c>
      <c r="W409" s="304">
        <f t="shared" ca="1" si="178"/>
        <v>16.388037766517087</v>
      </c>
      <c r="Y409" s="314" t="str">
        <f t="shared" ca="1" si="196"/>
        <v/>
      </c>
      <c r="Z409" s="315" t="str">
        <f t="shared" ca="1" si="197"/>
        <v/>
      </c>
      <c r="AA409" s="316" t="str">
        <f t="shared" ca="1" si="198"/>
        <v/>
      </c>
      <c r="AC409" s="310" t="e">
        <f t="shared" ca="1" si="199"/>
        <v>#N/A</v>
      </c>
      <c r="AD409" s="323" t="e">
        <f t="shared" ca="1" si="200"/>
        <v>#N/A</v>
      </c>
      <c r="AE409" s="324" t="e">
        <f t="shared" ca="1" si="179"/>
        <v>#N/A</v>
      </c>
      <c r="AG409" s="306">
        <f t="shared" ca="1" si="201"/>
        <v>7.3365981814808965</v>
      </c>
      <c r="AH409" s="304">
        <f t="shared" ca="1" si="202"/>
        <v>-2.0084531422771619</v>
      </c>
    </row>
    <row r="410" spans="1:34" x14ac:dyDescent="0.2">
      <c r="A410" s="347">
        <f t="shared" ca="1" si="180"/>
        <v>0.1</v>
      </c>
      <c r="B410" s="304">
        <f t="shared" ca="1" si="181"/>
        <v>22.600000000000055</v>
      </c>
      <c r="D410" s="306">
        <f t="shared" ca="1" si="182"/>
        <v>-0.61627337426976025</v>
      </c>
      <c r="E410" s="307">
        <f t="shared" ca="1" si="183"/>
        <v>-7.8502009508012156</v>
      </c>
      <c r="F410" s="304">
        <f t="shared" ca="1" si="184"/>
        <v>7.8743538045857546</v>
      </c>
      <c r="G410" s="306">
        <f t="shared" ca="1" si="185"/>
        <v>20.087049361591806</v>
      </c>
      <c r="H410" s="307">
        <f t="shared" ca="1" si="186"/>
        <v>-64.859437530589801</v>
      </c>
      <c r="I410" s="304">
        <f t="shared" ca="1" si="187"/>
        <v>67.898720082483933</v>
      </c>
      <c r="J410" s="306">
        <f t="shared" ca="1" si="188"/>
        <v>578.79786002125991</v>
      </c>
      <c r="K410" s="307">
        <f t="shared" ca="1" si="189"/>
        <v>1071.5849586184761</v>
      </c>
      <c r="L410" s="304">
        <f t="shared" ca="1" si="174"/>
        <v>1217.9085705842417</v>
      </c>
      <c r="M410" s="306">
        <f t="shared" ca="1" si="190"/>
        <v>-1.2704632302150425</v>
      </c>
      <c r="N410" s="304">
        <f t="shared" ca="1" si="191"/>
        <v>-72.792181117879423</v>
      </c>
      <c r="P410" s="310">
        <f t="shared" ca="1" si="192"/>
        <v>23</v>
      </c>
      <c r="Q410" s="304">
        <f t="shared" ca="1" si="193"/>
        <v>0</v>
      </c>
      <c r="R410" s="306">
        <f t="shared" ca="1" si="194"/>
        <v>0</v>
      </c>
      <c r="S410" s="307">
        <f t="shared" ca="1" si="195"/>
        <v>7.9769999999999968</v>
      </c>
      <c r="T410" s="304">
        <f t="shared" ca="1" si="175"/>
        <v>78.254369999999966</v>
      </c>
      <c r="U410" s="311">
        <f t="shared" ca="1" si="176"/>
        <v>0</v>
      </c>
      <c r="V410" s="306">
        <f t="shared" ca="1" si="177"/>
        <v>1.1004064701933367</v>
      </c>
      <c r="W410" s="304">
        <f t="shared" ca="1" si="178"/>
        <v>16.75752760214106</v>
      </c>
      <c r="Y410" s="314" t="str">
        <f t="shared" ca="1" si="196"/>
        <v/>
      </c>
      <c r="Z410" s="315" t="str">
        <f t="shared" ca="1" si="197"/>
        <v/>
      </c>
      <c r="AA410" s="316" t="str">
        <f t="shared" ca="1" si="198"/>
        <v/>
      </c>
      <c r="AC410" s="310" t="e">
        <f t="shared" ca="1" si="199"/>
        <v>#N/A</v>
      </c>
      <c r="AD410" s="323" t="e">
        <f t="shared" ca="1" si="200"/>
        <v>#N/A</v>
      </c>
      <c r="AE410" s="324" t="e">
        <f t="shared" ca="1" si="179"/>
        <v>#N/A</v>
      </c>
      <c r="AG410" s="306">
        <f t="shared" ca="1" si="201"/>
        <v>7.3038074518515534</v>
      </c>
      <c r="AH410" s="304">
        <f t="shared" ca="1" si="202"/>
        <v>-2.0544111528791644</v>
      </c>
    </row>
    <row r="411" spans="1:34" x14ac:dyDescent="0.2">
      <c r="A411" s="347">
        <f t="shared" ca="1" si="180"/>
        <v>0.1</v>
      </c>
      <c r="B411" s="304">
        <f t="shared" ca="1" si="181"/>
        <v>22.700000000000056</v>
      </c>
      <c r="D411" s="306">
        <f t="shared" ca="1" si="182"/>
        <v>-0.62147678504184656</v>
      </c>
      <c r="E411" s="307">
        <f t="shared" ca="1" si="183"/>
        <v>-7.803302351653147</v>
      </c>
      <c r="F411" s="304">
        <f t="shared" ca="1" si="184"/>
        <v>7.8280113046457389</v>
      </c>
      <c r="G411" s="306">
        <f t="shared" ca="1" si="185"/>
        <v>20.02490168308762</v>
      </c>
      <c r="H411" s="307">
        <f t="shared" ca="1" si="186"/>
        <v>-65.63976776575511</v>
      </c>
      <c r="I411" s="304">
        <f t="shared" ca="1" si="187"/>
        <v>68.626349165313968</v>
      </c>
      <c r="J411" s="306">
        <f t="shared" ca="1" si="188"/>
        <v>580.80345757349392</v>
      </c>
      <c r="K411" s="307">
        <f t="shared" ca="1" si="189"/>
        <v>1065.0599983536588</v>
      </c>
      <c r="L411" s="304">
        <f t="shared" ca="1" si="174"/>
        <v>1213.1304366894854</v>
      </c>
      <c r="M411" s="306">
        <f t="shared" ca="1" si="190"/>
        <v>-1.2746921939931812</v>
      </c>
      <c r="N411" s="304">
        <f t="shared" ca="1" si="191"/>
        <v>-73.034482894080469</v>
      </c>
      <c r="P411" s="310">
        <f t="shared" ca="1" si="192"/>
        <v>23</v>
      </c>
      <c r="Q411" s="304">
        <f t="shared" ca="1" si="193"/>
        <v>0</v>
      </c>
      <c r="R411" s="306">
        <f t="shared" ca="1" si="194"/>
        <v>0</v>
      </c>
      <c r="S411" s="307">
        <f t="shared" ca="1" si="195"/>
        <v>7.9769999999999968</v>
      </c>
      <c r="T411" s="304">
        <f t="shared" ca="1" si="175"/>
        <v>78.254369999999966</v>
      </c>
      <c r="U411" s="311">
        <f t="shared" ca="1" si="176"/>
        <v>0</v>
      </c>
      <c r="V411" s="306">
        <f t="shared" ca="1" si="177"/>
        <v>1.101126771242503</v>
      </c>
      <c r="W411" s="304">
        <f t="shared" ca="1" si="178"/>
        <v>17.129817869471054</v>
      </c>
      <c r="Y411" s="314" t="str">
        <f t="shared" ca="1" si="196"/>
        <v/>
      </c>
      <c r="Z411" s="315" t="str">
        <f t="shared" ca="1" si="197"/>
        <v/>
      </c>
      <c r="AA411" s="316" t="str">
        <f t="shared" ca="1" si="198"/>
        <v/>
      </c>
      <c r="AC411" s="310" t="e">
        <f t="shared" ca="1" si="199"/>
        <v>#N/A</v>
      </c>
      <c r="AD411" s="323" t="e">
        <f t="shared" ca="1" si="200"/>
        <v>#N/A</v>
      </c>
      <c r="AE411" s="324" t="e">
        <f t="shared" ca="1" si="179"/>
        <v>#N/A</v>
      </c>
      <c r="AG411" s="306">
        <f t="shared" ca="1" si="201"/>
        <v>7.2701542231055596</v>
      </c>
      <c r="AH411" s="304">
        <f t="shared" ca="1" si="202"/>
        <v>-2.10073055060061</v>
      </c>
    </row>
    <row r="412" spans="1:34" x14ac:dyDescent="0.2">
      <c r="A412" s="347">
        <f t="shared" ca="1" si="180"/>
        <v>0.1</v>
      </c>
      <c r="B412" s="304">
        <f t="shared" ca="1" si="181"/>
        <v>22.800000000000058</v>
      </c>
      <c r="D412" s="306">
        <f t="shared" ca="1" si="182"/>
        <v>-0.62660326032659308</v>
      </c>
      <c r="E412" s="307">
        <f t="shared" ca="1" si="183"/>
        <v>-7.7560527127661407</v>
      </c>
      <c r="F412" s="304">
        <f t="shared" ca="1" si="184"/>
        <v>7.7813228521286097</v>
      </c>
      <c r="G412" s="306">
        <f t="shared" ca="1" si="185"/>
        <v>19.96224135705496</v>
      </c>
      <c r="H412" s="307">
        <f t="shared" ca="1" si="186"/>
        <v>-66.415373037031728</v>
      </c>
      <c r="I412" s="304">
        <f t="shared" ca="1" si="187"/>
        <v>69.350507248652463</v>
      </c>
      <c r="J412" s="306">
        <f t="shared" ca="1" si="188"/>
        <v>582.80281472550109</v>
      </c>
      <c r="K412" s="307">
        <f t="shared" ca="1" si="189"/>
        <v>1058.4572413135195</v>
      </c>
      <c r="L412" s="304">
        <f t="shared" ca="1" si="174"/>
        <v>1208.3008121080582</v>
      </c>
      <c r="M412" s="306">
        <f t="shared" ca="1" si="190"/>
        <v>-1.2788198176750276</v>
      </c>
      <c r="N412" s="304">
        <f t="shared" ca="1" si="191"/>
        <v>-73.270978310468521</v>
      </c>
      <c r="P412" s="310">
        <f t="shared" ca="1" si="192"/>
        <v>23</v>
      </c>
      <c r="Q412" s="304">
        <f t="shared" ca="1" si="193"/>
        <v>0</v>
      </c>
      <c r="R412" s="306">
        <f t="shared" ca="1" si="194"/>
        <v>0</v>
      </c>
      <c r="S412" s="307">
        <f t="shared" ca="1" si="195"/>
        <v>7.9769999999999968</v>
      </c>
      <c r="T412" s="304">
        <f t="shared" ca="1" si="175"/>
        <v>78.254369999999966</v>
      </c>
      <c r="U412" s="311">
        <f t="shared" ca="1" si="176"/>
        <v>0</v>
      </c>
      <c r="V412" s="306">
        <f t="shared" ca="1" si="177"/>
        <v>1.1018561147902792</v>
      </c>
      <c r="W412" s="304">
        <f t="shared" ca="1" si="178"/>
        <v>17.50482618279964</v>
      </c>
      <c r="Y412" s="314" t="str">
        <f t="shared" ca="1" si="196"/>
        <v/>
      </c>
      <c r="Z412" s="315" t="str">
        <f t="shared" ca="1" si="197"/>
        <v/>
      </c>
      <c r="AA412" s="316" t="str">
        <f t="shared" ca="1" si="198"/>
        <v/>
      </c>
      <c r="AC412" s="310" t="e">
        <f t="shared" ca="1" si="199"/>
        <v>#N/A</v>
      </c>
      <c r="AD412" s="323" t="e">
        <f t="shared" ca="1" si="200"/>
        <v>#N/A</v>
      </c>
      <c r="AE412" s="324" t="e">
        <f t="shared" ca="1" si="179"/>
        <v>#N/A</v>
      </c>
      <c r="AG412" s="306">
        <f t="shared" ca="1" si="201"/>
        <v>7.2356731226722317</v>
      </c>
      <c r="AH412" s="304">
        <f t="shared" ca="1" si="202"/>
        <v>-2.1474010115922102</v>
      </c>
    </row>
    <row r="413" spans="1:34" x14ac:dyDescent="0.2">
      <c r="A413" s="347">
        <f t="shared" ca="1" si="180"/>
        <v>0.1</v>
      </c>
      <c r="B413" s="304">
        <f t="shared" ca="1" si="181"/>
        <v>22.900000000000059</v>
      </c>
      <c r="D413" s="306">
        <f t="shared" ca="1" si="182"/>
        <v>-0.63165199318384457</v>
      </c>
      <c r="E413" s="307">
        <f t="shared" ca="1" si="183"/>
        <v>-7.7084623015760005</v>
      </c>
      <c r="F413" s="304">
        <f t="shared" ca="1" si="184"/>
        <v>7.7342986298249112</v>
      </c>
      <c r="G413" s="306">
        <f t="shared" ca="1" si="185"/>
        <v>19.899076157736577</v>
      </c>
      <c r="H413" s="307">
        <f t="shared" ca="1" si="186"/>
        <v>-67.18621926718933</v>
      </c>
      <c r="I413" s="304">
        <f t="shared" ca="1" si="187"/>
        <v>70.071115956221519</v>
      </c>
      <c r="J413" s="306">
        <f t="shared" ca="1" si="188"/>
        <v>584.7958806012407</v>
      </c>
      <c r="K413" s="307">
        <f t="shared" ca="1" si="189"/>
        <v>1051.7771616983084</v>
      </c>
      <c r="L413" s="304">
        <f t="shared" ca="1" si="174"/>
        <v>1203.4207160583244</v>
      </c>
      <c r="M413" s="306">
        <f t="shared" ca="1" si="190"/>
        <v>-1.2828496855642857</v>
      </c>
      <c r="N413" s="304">
        <f t="shared" ca="1" si="191"/>
        <v>-73.501872732518294</v>
      </c>
      <c r="P413" s="310">
        <f t="shared" ca="1" si="192"/>
        <v>23</v>
      </c>
      <c r="Q413" s="304">
        <f t="shared" ca="1" si="193"/>
        <v>0</v>
      </c>
      <c r="R413" s="306">
        <f t="shared" ca="1" si="194"/>
        <v>0</v>
      </c>
      <c r="S413" s="307">
        <f t="shared" ca="1" si="195"/>
        <v>7.9769999999999968</v>
      </c>
      <c r="T413" s="304">
        <f t="shared" ca="1" si="175"/>
        <v>78.254369999999966</v>
      </c>
      <c r="U413" s="311">
        <f t="shared" ca="1" si="176"/>
        <v>0</v>
      </c>
      <c r="V413" s="306">
        <f t="shared" ca="1" si="177"/>
        <v>1.1025944650008366</v>
      </c>
      <c r="W413" s="304">
        <f t="shared" ca="1" si="178"/>
        <v>17.882470156348077</v>
      </c>
      <c r="Y413" s="314" t="str">
        <f t="shared" ca="1" si="196"/>
        <v/>
      </c>
      <c r="Z413" s="315" t="str">
        <f t="shared" ca="1" si="197"/>
        <v/>
      </c>
      <c r="AA413" s="316" t="str">
        <f t="shared" ca="1" si="198"/>
        <v/>
      </c>
      <c r="AC413" s="310" t="e">
        <f t="shared" ca="1" si="199"/>
        <v>#N/A</v>
      </c>
      <c r="AD413" s="323" t="e">
        <f t="shared" ca="1" si="200"/>
        <v>#N/A</v>
      </c>
      <c r="AE413" s="324" t="e">
        <f t="shared" ca="1" si="179"/>
        <v>#N/A</v>
      </c>
      <c r="AG413" s="306">
        <f t="shared" ca="1" si="201"/>
        <v>7.2003973665119556</v>
      </c>
      <c r="AH413" s="304">
        <f t="shared" ca="1" si="202"/>
        <v>-2.1944122079478059</v>
      </c>
    </row>
    <row r="414" spans="1:34" x14ac:dyDescent="0.2">
      <c r="A414" s="347">
        <f t="shared" ca="1" si="180"/>
        <v>0.1</v>
      </c>
      <c r="B414" s="304">
        <f t="shared" ca="1" si="181"/>
        <v>23.00000000000006</v>
      </c>
      <c r="D414" s="306">
        <f t="shared" ca="1" si="182"/>
        <v>-0.6366222261227521</v>
      </c>
      <c r="E414" s="307">
        <f t="shared" ca="1" si="183"/>
        <v>-7.6605413952084422</v>
      </c>
      <c r="F414" s="304">
        <f t="shared" ca="1" si="184"/>
        <v>7.6869488307452389</v>
      </c>
      <c r="G414" s="306">
        <f t="shared" ca="1" si="185"/>
        <v>19.835413935124301</v>
      </c>
      <c r="H414" s="307">
        <f t="shared" ca="1" si="186"/>
        <v>-67.952273406710177</v>
      </c>
      <c r="I414" s="304">
        <f t="shared" ca="1" si="187"/>
        <v>70.788100038904943</v>
      </c>
      <c r="J414" s="306">
        <f t="shared" ca="1" si="188"/>
        <v>586.7826051058837</v>
      </c>
      <c r="K414" s="307">
        <f t="shared" ca="1" si="189"/>
        <v>1045.0202370646134</v>
      </c>
      <c r="L414" s="304">
        <f t="shared" ca="1" si="174"/>
        <v>1198.4911854199963</v>
      </c>
      <c r="M414" s="306">
        <f t="shared" ca="1" si="190"/>
        <v>-1.2867852203235741</v>
      </c>
      <c r="N414" s="304">
        <f t="shared" ca="1" si="191"/>
        <v>-73.727362264352564</v>
      </c>
      <c r="P414" s="310">
        <f t="shared" ca="1" si="192"/>
        <v>23</v>
      </c>
      <c r="Q414" s="304">
        <f t="shared" ca="1" si="193"/>
        <v>0</v>
      </c>
      <c r="R414" s="306">
        <f t="shared" ca="1" si="194"/>
        <v>0</v>
      </c>
      <c r="S414" s="307">
        <f t="shared" ca="1" si="195"/>
        <v>7.9769999999999968</v>
      </c>
      <c r="T414" s="304">
        <f t="shared" ca="1" si="175"/>
        <v>78.254369999999966</v>
      </c>
      <c r="U414" s="311">
        <f t="shared" ca="1" si="176"/>
        <v>0</v>
      </c>
      <c r="V414" s="306">
        <f t="shared" ca="1" si="177"/>
        <v>1.1033417857541858</v>
      </c>
      <c r="W414" s="304">
        <f t="shared" ca="1" si="178"/>
        <v>18.262667436211462</v>
      </c>
      <c r="Y414" s="314" t="str">
        <f t="shared" ca="1" si="196"/>
        <v/>
      </c>
      <c r="Z414" s="315" t="str">
        <f t="shared" ca="1" si="197"/>
        <v/>
      </c>
      <c r="AA414" s="316" t="str">
        <f t="shared" ca="1" si="198"/>
        <v/>
      </c>
      <c r="AC414" s="310">
        <f t="shared" ca="1" si="199"/>
        <v>23.00000000000006</v>
      </c>
      <c r="AD414" s="323">
        <f t="shared" ca="1" si="200"/>
        <v>586.7826051058837</v>
      </c>
      <c r="AE414" s="324" t="e">
        <f t="shared" ca="1" si="179"/>
        <v>#N/A</v>
      </c>
      <c r="AG414" s="306">
        <f t="shared" ca="1" si="201"/>
        <v>7.1643588498886626</v>
      </c>
      <c r="AH414" s="304">
        <f t="shared" ca="1" si="202"/>
        <v>-2.2417538117522984</v>
      </c>
    </row>
    <row r="415" spans="1:34" x14ac:dyDescent="0.2">
      <c r="A415" s="347">
        <f t="shared" ca="1" si="180"/>
        <v>0.1</v>
      </c>
      <c r="B415" s="304">
        <f t="shared" ca="1" si="181"/>
        <v>23.100000000000062</v>
      </c>
      <c r="D415" s="306">
        <f t="shared" ca="1" si="182"/>
        <v>-0.64151324966919654</v>
      </c>
      <c r="E415" s="307">
        <f t="shared" ca="1" si="183"/>
        <v>-7.6123002757529701</v>
      </c>
      <c r="F415" s="304">
        <f t="shared" ca="1" si="184"/>
        <v>7.639283653440935</v>
      </c>
      <c r="G415" s="306">
        <f t="shared" ca="1" si="185"/>
        <v>19.771262610157383</v>
      </c>
      <c r="H415" s="307">
        <f t="shared" ca="1" si="186"/>
        <v>-68.713503434285471</v>
      </c>
      <c r="I415" s="304">
        <f t="shared" ca="1" si="187"/>
        <v>71.501387255167074</v>
      </c>
      <c r="J415" s="306">
        <f t="shared" ca="1" si="188"/>
        <v>588.76293893314778</v>
      </c>
      <c r="K415" s="307">
        <f t="shared" ca="1" si="189"/>
        <v>1038.1869482225636</v>
      </c>
      <c r="L415" s="304">
        <f t="shared" ca="1" si="174"/>
        <v>1193.5132750501259</v>
      </c>
      <c r="M415" s="306">
        <f t="shared" ca="1" si="190"/>
        <v>-1.290629691606682</v>
      </c>
      <c r="N415" s="304">
        <f t="shared" ca="1" si="191"/>
        <v>-73.94763424333388</v>
      </c>
      <c r="P415" s="310">
        <f t="shared" ca="1" si="192"/>
        <v>23</v>
      </c>
      <c r="Q415" s="304">
        <f t="shared" ca="1" si="193"/>
        <v>0</v>
      </c>
      <c r="R415" s="306">
        <f t="shared" ca="1" si="194"/>
        <v>0</v>
      </c>
      <c r="S415" s="307">
        <f t="shared" ca="1" si="195"/>
        <v>7.9769999999999968</v>
      </c>
      <c r="T415" s="304">
        <f t="shared" ca="1" si="175"/>
        <v>78.254369999999966</v>
      </c>
      <c r="U415" s="311">
        <f t="shared" ca="1" si="176"/>
        <v>0</v>
      </c>
      <c r="V415" s="306">
        <f t="shared" ca="1" si="177"/>
        <v>1.1040980406531575</v>
      </c>
      <c r="W415" s="304">
        <f t="shared" ca="1" si="178"/>
        <v>18.645335731938726</v>
      </c>
      <c r="Y415" s="314" t="str">
        <f t="shared" ca="1" si="196"/>
        <v/>
      </c>
      <c r="Z415" s="315" t="str">
        <f t="shared" ca="1" si="197"/>
        <v/>
      </c>
      <c r="AA415" s="316" t="str">
        <f t="shared" ca="1" si="198"/>
        <v/>
      </c>
      <c r="AC415" s="310" t="e">
        <f t="shared" ca="1" si="199"/>
        <v>#N/A</v>
      </c>
      <c r="AD415" s="323" t="e">
        <f t="shared" ca="1" si="200"/>
        <v>#N/A</v>
      </c>
      <c r="AE415" s="324" t="e">
        <f t="shared" ca="1" si="179"/>
        <v>#N/A</v>
      </c>
      <c r="AG415" s="306">
        <f t="shared" ca="1" si="201"/>
        <v>7.1275882311092893</v>
      </c>
      <c r="AH415" s="304">
        <f t="shared" ca="1" si="202"/>
        <v>-2.2894154990863069</v>
      </c>
    </row>
    <row r="416" spans="1:34" x14ac:dyDescent="0.2">
      <c r="A416" s="347">
        <f t="shared" ca="1" si="180"/>
        <v>0.1</v>
      </c>
      <c r="B416" s="304">
        <f t="shared" ca="1" si="181"/>
        <v>23.200000000000063</v>
      </c>
      <c r="D416" s="306">
        <f t="shared" ca="1" si="182"/>
        <v>-0.64632440100600452</v>
      </c>
      <c r="E416" s="307">
        <f t="shared" ca="1" si="183"/>
        <v>-7.5637492256375882</v>
      </c>
      <c r="F416" s="304">
        <f t="shared" ca="1" si="184"/>
        <v>7.5913132974254847</v>
      </c>
      <c r="G416" s="306">
        <f t="shared" ca="1" si="185"/>
        <v>19.706630170056783</v>
      </c>
      <c r="H416" s="307">
        <f t="shared" ca="1" si="186"/>
        <v>-69.469878356849236</v>
      </c>
      <c r="I416" s="304">
        <f t="shared" ca="1" si="187"/>
        <v>72.210908258896879</v>
      </c>
      <c r="J416" s="306">
        <f t="shared" ca="1" si="188"/>
        <v>590.7368335721585</v>
      </c>
      <c r="K416" s="307">
        <f t="shared" ca="1" si="189"/>
        <v>1031.2777791330068</v>
      </c>
      <c r="L416" s="304">
        <f t="shared" ca="1" si="174"/>
        <v>1188.4880581109626</v>
      </c>
      <c r="M416" s="306">
        <f t="shared" ca="1" si="190"/>
        <v>-1.2943862241706947</v>
      </c>
      <c r="N416" s="304">
        <f t="shared" ca="1" si="191"/>
        <v>-74.162867704855273</v>
      </c>
      <c r="P416" s="310">
        <f t="shared" ca="1" si="192"/>
        <v>23</v>
      </c>
      <c r="Q416" s="304">
        <f t="shared" ca="1" si="193"/>
        <v>0</v>
      </c>
      <c r="R416" s="306">
        <f t="shared" ca="1" si="194"/>
        <v>0</v>
      </c>
      <c r="S416" s="307">
        <f t="shared" ca="1" si="195"/>
        <v>7.9769999999999968</v>
      </c>
      <c r="T416" s="304">
        <f t="shared" ca="1" si="175"/>
        <v>78.254369999999966</v>
      </c>
      <c r="U416" s="311">
        <f t="shared" ca="1" si="176"/>
        <v>0</v>
      </c>
      <c r="V416" s="306">
        <f t="shared" ca="1" si="177"/>
        <v>1.1048631930303938</v>
      </c>
      <c r="W416" s="304">
        <f t="shared" ca="1" si="178"/>
        <v>19.03039284772893</v>
      </c>
      <c r="Y416" s="314" t="str">
        <f t="shared" ca="1" si="196"/>
        <v/>
      </c>
      <c r="Z416" s="315" t="str">
        <f t="shared" ca="1" si="197"/>
        <v/>
      </c>
      <c r="AA416" s="316" t="str">
        <f t="shared" ca="1" si="198"/>
        <v/>
      </c>
      <c r="AC416" s="310" t="e">
        <f t="shared" ca="1" si="199"/>
        <v>#N/A</v>
      </c>
      <c r="AD416" s="323" t="e">
        <f t="shared" ca="1" si="200"/>
        <v>#N/A</v>
      </c>
      <c r="AE416" s="324" t="e">
        <f t="shared" ca="1" si="179"/>
        <v>#N/A</v>
      </c>
      <c r="AG416" s="306">
        <f t="shared" ca="1" si="201"/>
        <v>7.0901150088055802</v>
      </c>
      <c r="AH416" s="304">
        <f t="shared" ca="1" si="202"/>
        <v>-2.3373869539850487</v>
      </c>
    </row>
    <row r="417" spans="1:34" x14ac:dyDescent="0.2">
      <c r="A417" s="347">
        <f t="shared" ca="1" si="180"/>
        <v>0.1</v>
      </c>
      <c r="B417" s="304">
        <f t="shared" ca="1" si="181"/>
        <v>23.300000000000065</v>
      </c>
      <c r="D417" s="306">
        <f t="shared" ca="1" si="182"/>
        <v>-0.65105506267990043</v>
      </c>
      <c r="E417" s="307">
        <f t="shared" ca="1" si="183"/>
        <v>-7.5148985231018202</v>
      </c>
      <c r="F417" s="304">
        <f t="shared" ca="1" si="184"/>
        <v>7.5430479586940882</v>
      </c>
      <c r="G417" s="306">
        <f t="shared" ca="1" si="185"/>
        <v>19.641524663788793</v>
      </c>
      <c r="H417" s="307">
        <f t="shared" ca="1" si="186"/>
        <v>-70.221368209159422</v>
      </c>
      <c r="I417" s="304">
        <f t="shared" ca="1" si="187"/>
        <v>72.916596494108049</v>
      </c>
      <c r="J417" s="306">
        <f t="shared" ca="1" si="188"/>
        <v>592.70424131385073</v>
      </c>
      <c r="K417" s="307">
        <f t="shared" ca="1" si="189"/>
        <v>1024.2932168047064</v>
      </c>
      <c r="L417" s="304">
        <f t="shared" ca="1" si="174"/>
        <v>1183.4166264099727</v>
      </c>
      <c r="M417" s="306">
        <f t="shared" ca="1" si="190"/>
        <v>-1.2980578055018479</v>
      </c>
      <c r="N417" s="304">
        <f t="shared" ca="1" si="191"/>
        <v>-74.373233819269373</v>
      </c>
      <c r="P417" s="310">
        <f t="shared" ca="1" si="192"/>
        <v>23</v>
      </c>
      <c r="Q417" s="304">
        <f t="shared" ca="1" si="193"/>
        <v>0</v>
      </c>
      <c r="R417" s="306">
        <f t="shared" ca="1" si="194"/>
        <v>0</v>
      </c>
      <c r="S417" s="307">
        <f t="shared" ca="1" si="195"/>
        <v>7.9769999999999968</v>
      </c>
      <c r="T417" s="304">
        <f t="shared" ca="1" si="175"/>
        <v>78.254369999999966</v>
      </c>
      <c r="U417" s="311">
        <f t="shared" ca="1" si="176"/>
        <v>0</v>
      </c>
      <c r="V417" s="306">
        <f t="shared" ca="1" si="177"/>
        <v>1.1056372059553627</v>
      </c>
      <c r="W417" s="304">
        <f t="shared" ca="1" si="178"/>
        <v>19.41775671322543</v>
      </c>
      <c r="Y417" s="314" t="str">
        <f t="shared" ca="1" si="196"/>
        <v/>
      </c>
      <c r="Z417" s="315" t="str">
        <f t="shared" ca="1" si="197"/>
        <v/>
      </c>
      <c r="AA417" s="316" t="str">
        <f t="shared" ca="1" si="198"/>
        <v/>
      </c>
      <c r="AC417" s="310" t="e">
        <f t="shared" ca="1" si="199"/>
        <v>#N/A</v>
      </c>
      <c r="AD417" s="323" t="e">
        <f t="shared" ca="1" si="200"/>
        <v>#N/A</v>
      </c>
      <c r="AE417" s="324" t="e">
        <f t="shared" ca="1" si="179"/>
        <v>#N/A</v>
      </c>
      <c r="AG417" s="306">
        <f t="shared" ca="1" si="201"/>
        <v>7.051967593284397</v>
      </c>
      <c r="AH417" s="304">
        <f t="shared" ca="1" si="202"/>
        <v>-2.3856578723491211</v>
      </c>
    </row>
    <row r="418" spans="1:34" x14ac:dyDescent="0.2">
      <c r="A418" s="347">
        <f t="shared" ca="1" si="180"/>
        <v>0.1</v>
      </c>
      <c r="B418" s="304">
        <f t="shared" ca="1" si="181"/>
        <v>23.400000000000066</v>
      </c>
      <c r="D418" s="306">
        <f t="shared" ca="1" si="182"/>
        <v>-0.6557046613696168</v>
      </c>
      <c r="E418" s="307">
        <f t="shared" ca="1" si="183"/>
        <v>-7.4657584377659907</v>
      </c>
      <c r="F418" s="304">
        <f t="shared" ca="1" si="184"/>
        <v>7.4944978253393284</v>
      </c>
      <c r="G418" s="306">
        <f t="shared" ca="1" si="185"/>
        <v>19.575954197651832</v>
      </c>
      <c r="H418" s="307">
        <f t="shared" ca="1" si="186"/>
        <v>-70.967944052936019</v>
      </c>
      <c r="I418" s="304">
        <f t="shared" ca="1" si="187"/>
        <v>73.618388095972463</v>
      </c>
      <c r="J418" s="306">
        <f t="shared" ca="1" si="188"/>
        <v>594.66511525692272</v>
      </c>
      <c r="K418" s="307">
        <f t="shared" ca="1" si="189"/>
        <v>1017.2337511916016</v>
      </c>
      <c r="L418" s="304">
        <f t="shared" ca="1" si="174"/>
        <v>1178.3000907522949</v>
      </c>
      <c r="M418" s="306">
        <f t="shared" ca="1" si="190"/>
        <v>-1.3016472929866978</v>
      </c>
      <c r="N418" s="304">
        <f t="shared" ca="1" si="191"/>
        <v>-74.57889630276631</v>
      </c>
      <c r="P418" s="310">
        <f t="shared" ca="1" si="192"/>
        <v>23</v>
      </c>
      <c r="Q418" s="304">
        <f t="shared" ca="1" si="193"/>
        <v>0</v>
      </c>
      <c r="R418" s="306">
        <f t="shared" ca="1" si="194"/>
        <v>0</v>
      </c>
      <c r="S418" s="307">
        <f t="shared" ca="1" si="195"/>
        <v>7.9769999999999968</v>
      </c>
      <c r="T418" s="304">
        <f t="shared" ca="1" si="175"/>
        <v>78.254369999999966</v>
      </c>
      <c r="U418" s="311">
        <f t="shared" ca="1" si="176"/>
        <v>0</v>
      </c>
      <c r="V418" s="306">
        <f t="shared" ca="1" si="177"/>
        <v>1.1064200422413764</v>
      </c>
      <c r="W418" s="304">
        <f t="shared" ca="1" si="178"/>
        <v>19.807345413890513</v>
      </c>
      <c r="Y418" s="314" t="str">
        <f t="shared" ca="1" si="196"/>
        <v/>
      </c>
      <c r="Z418" s="315" t="str">
        <f t="shared" ca="1" si="197"/>
        <v/>
      </c>
      <c r="AA418" s="316" t="str">
        <f t="shared" ca="1" si="198"/>
        <v/>
      </c>
      <c r="AC418" s="310" t="e">
        <f t="shared" ca="1" si="199"/>
        <v>#N/A</v>
      </c>
      <c r="AD418" s="323" t="e">
        <f t="shared" ca="1" si="200"/>
        <v>#N/A</v>
      </c>
      <c r="AE418" s="324" t="e">
        <f t="shared" ca="1" si="179"/>
        <v>#N/A</v>
      </c>
      <c r="AG418" s="306">
        <f t="shared" ca="1" si="201"/>
        <v>7.0131733724279517</v>
      </c>
      <c r="AH418" s="304">
        <f t="shared" ca="1" si="202"/>
        <v>-2.4342179658048688</v>
      </c>
    </row>
    <row r="419" spans="1:34" x14ac:dyDescent="0.2">
      <c r="A419" s="347">
        <f t="shared" ca="1" si="180"/>
        <v>0.1</v>
      </c>
      <c r="B419" s="304">
        <f t="shared" ca="1" si="181"/>
        <v>23.500000000000068</v>
      </c>
      <c r="D419" s="306">
        <f t="shared" ca="1" si="182"/>
        <v>-0.66027266671009466</v>
      </c>
      <c r="E419" s="307">
        <f t="shared" ca="1" si="183"/>
        <v>-7.416339226295003</v>
      </c>
      <c r="F419" s="304">
        <f t="shared" ca="1" si="184"/>
        <v>7.4456730732611689</v>
      </c>
      <c r="G419" s="306">
        <f t="shared" ca="1" si="185"/>
        <v>19.509926930980821</v>
      </c>
      <c r="H419" s="307">
        <f t="shared" ca="1" si="186"/>
        <v>-71.709577975565523</v>
      </c>
      <c r="I419" s="304">
        <f t="shared" ca="1" si="187"/>
        <v>74.316221797706604</v>
      </c>
      <c r="J419" s="306">
        <f t="shared" ca="1" si="188"/>
        <v>596.61940931335437</v>
      </c>
      <c r="K419" s="307">
        <f t="shared" ca="1" si="189"/>
        <v>1010.0998750901765</v>
      </c>
      <c r="L419" s="304">
        <f t="shared" ca="1" si="174"/>
        <v>1173.13958130591</v>
      </c>
      <c r="M419" s="306">
        <f t="shared" ca="1" si="190"/>
        <v>-1.305157420658088</v>
      </c>
      <c r="N419" s="304">
        <f t="shared" ca="1" si="191"/>
        <v>-74.780011803889053</v>
      </c>
      <c r="P419" s="310">
        <f t="shared" ca="1" si="192"/>
        <v>23</v>
      </c>
      <c r="Q419" s="304">
        <f t="shared" ca="1" si="193"/>
        <v>0</v>
      </c>
      <c r="R419" s="306">
        <f t="shared" ca="1" si="194"/>
        <v>0</v>
      </c>
      <c r="S419" s="307">
        <f t="shared" ca="1" si="195"/>
        <v>7.9769999999999968</v>
      </c>
      <c r="T419" s="304">
        <f t="shared" ca="1" si="175"/>
        <v>78.254369999999966</v>
      </c>
      <c r="U419" s="311">
        <f t="shared" ca="1" si="176"/>
        <v>0</v>
      </c>
      <c r="V419" s="306">
        <f t="shared" ca="1" si="177"/>
        <v>1.1072116644526273</v>
      </c>
      <c r="W419" s="304">
        <f t="shared" ca="1" si="178"/>
        <v>20.199077220944115</v>
      </c>
      <c r="Y419" s="314" t="str">
        <f t="shared" ca="1" si="196"/>
        <v/>
      </c>
      <c r="Z419" s="315" t="str">
        <f t="shared" ca="1" si="197"/>
        <v/>
      </c>
      <c r="AA419" s="316" t="str">
        <f t="shared" ca="1" si="198"/>
        <v/>
      </c>
      <c r="AC419" s="310" t="e">
        <f t="shared" ca="1" si="199"/>
        <v>#N/A</v>
      </c>
      <c r="AD419" s="323" t="e">
        <f t="shared" ca="1" si="200"/>
        <v>#N/A</v>
      </c>
      <c r="AE419" s="324" t="e">
        <f t="shared" ca="1" si="179"/>
        <v>#N/A</v>
      </c>
      <c r="AG419" s="306">
        <f t="shared" ca="1" si="201"/>
        <v>6.973758772584528</v>
      </c>
      <c r="AH419" s="304">
        <f t="shared" ca="1" si="202"/>
        <v>-2.4830569655121626</v>
      </c>
    </row>
    <row r="420" spans="1:34" x14ac:dyDescent="0.2">
      <c r="A420" s="347">
        <f t="shared" ca="1" si="180"/>
        <v>0.1</v>
      </c>
      <c r="B420" s="304">
        <f t="shared" ca="1" si="181"/>
        <v>23.600000000000069</v>
      </c>
      <c r="D420" s="306">
        <f t="shared" ca="1" si="182"/>
        <v>-0.66475859016812833</v>
      </c>
      <c r="E420" s="307">
        <f t="shared" ca="1" si="183"/>
        <v>-7.3666511281551017</v>
      </c>
      <c r="F420" s="304">
        <f t="shared" ca="1" si="184"/>
        <v>7.3965838619697371</v>
      </c>
      <c r="G420" s="306">
        <f t="shared" ca="1" si="185"/>
        <v>19.443451071964009</v>
      </c>
      <c r="H420" s="307">
        <f t="shared" ca="1" si="186"/>
        <v>-72.446243088381038</v>
      </c>
      <c r="I420" s="304">
        <f t="shared" ca="1" si="187"/>
        <v>75.010038842868596</v>
      </c>
      <c r="J420" s="306">
        <f t="shared" ca="1" si="188"/>
        <v>598.56707821350165</v>
      </c>
      <c r="K420" s="307">
        <f t="shared" ca="1" si="189"/>
        <v>1002.8920840369792</v>
      </c>
      <c r="L420" s="304">
        <f t="shared" ca="1" si="174"/>
        <v>1167.936247979779</v>
      </c>
      <c r="M420" s="306">
        <f t="shared" ca="1" si="190"/>
        <v>-1.3085908055434059</v>
      </c>
      <c r="N420" s="304">
        <f t="shared" ca="1" si="191"/>
        <v>-74.976730267261772</v>
      </c>
      <c r="P420" s="310">
        <f t="shared" ca="1" si="192"/>
        <v>23</v>
      </c>
      <c r="Q420" s="304">
        <f t="shared" ca="1" si="193"/>
        <v>0</v>
      </c>
      <c r="R420" s="306">
        <f t="shared" ca="1" si="194"/>
        <v>0</v>
      </c>
      <c r="S420" s="307">
        <f t="shared" ca="1" si="195"/>
        <v>7.9769999999999968</v>
      </c>
      <c r="T420" s="304">
        <f t="shared" ca="1" si="175"/>
        <v>78.254369999999966</v>
      </c>
      <c r="U420" s="311">
        <f t="shared" ca="1" si="176"/>
        <v>0</v>
      </c>
      <c r="V420" s="306">
        <f t="shared" ca="1" si="177"/>
        <v>1.1080120349112264</v>
      </c>
      <c r="W420" s="304">
        <f t="shared" ca="1" si="178"/>
        <v>20.592870620850295</v>
      </c>
      <c r="Y420" s="314" t="str">
        <f t="shared" ca="1" si="196"/>
        <v/>
      </c>
      <c r="Z420" s="315" t="str">
        <f t="shared" ca="1" si="197"/>
        <v/>
      </c>
      <c r="AA420" s="316" t="str">
        <f t="shared" ca="1" si="198"/>
        <v/>
      </c>
      <c r="AC420" s="310" t="e">
        <f t="shared" ca="1" si="199"/>
        <v>#N/A</v>
      </c>
      <c r="AD420" s="323" t="e">
        <f t="shared" ca="1" si="200"/>
        <v>#N/A</v>
      </c>
      <c r="AE420" s="324" t="e">
        <f t="shared" ca="1" si="179"/>
        <v>#N/A</v>
      </c>
      <c r="AG420" s="306">
        <f t="shared" ca="1" si="201"/>
        <v>6.9337493148528937</v>
      </c>
      <c r="AH420" s="304">
        <f t="shared" ca="1" si="202"/>
        <v>-2.5321646259175283</v>
      </c>
    </row>
    <row r="421" spans="1:34" x14ac:dyDescent="0.2">
      <c r="A421" s="347">
        <f t="shared" ca="1" si="180"/>
        <v>0.1</v>
      </c>
      <c r="B421" s="304">
        <f t="shared" ca="1" si="181"/>
        <v>23.70000000000007</v>
      </c>
      <c r="D421" s="306">
        <f t="shared" ca="1" si="182"/>
        <v>-0.66916198396519799</v>
      </c>
      <c r="E421" s="307">
        <f t="shared" ca="1" si="183"/>
        <v>-7.3167043614624525</v>
      </c>
      <c r="F421" s="304">
        <f t="shared" ca="1" si="184"/>
        <v>7.3472403304797318</v>
      </c>
      <c r="G421" s="306">
        <f t="shared" ca="1" si="185"/>
        <v>19.37653487356749</v>
      </c>
      <c r="H421" s="307">
        <f t="shared" ca="1" si="186"/>
        <v>-73.177913524527284</v>
      </c>
      <c r="I421" s="304">
        <f t="shared" ca="1" si="187"/>
        <v>75.69978290265945</v>
      </c>
      <c r="J421" s="306">
        <f t="shared" ca="1" si="188"/>
        <v>600.50807751077821</v>
      </c>
      <c r="K421" s="307">
        <f t="shared" ca="1" si="189"/>
        <v>995.61087620633384</v>
      </c>
      <c r="L421" s="304">
        <f t="shared" ca="1" si="174"/>
        <v>1162.6912608151979</v>
      </c>
      <c r="M421" s="306">
        <f t="shared" ca="1" si="190"/>
        <v>-1.3119499536407633</v>
      </c>
      <c r="N421" s="304">
        <f t="shared" ca="1" si="191"/>
        <v>-75.169195275999755</v>
      </c>
      <c r="P421" s="310">
        <f t="shared" ca="1" si="192"/>
        <v>23</v>
      </c>
      <c r="Q421" s="304">
        <f t="shared" ca="1" si="193"/>
        <v>0</v>
      </c>
      <c r="R421" s="306">
        <f t="shared" ca="1" si="194"/>
        <v>0</v>
      </c>
      <c r="S421" s="307">
        <f t="shared" ca="1" si="195"/>
        <v>7.9769999999999968</v>
      </c>
      <c r="T421" s="304">
        <f t="shared" ca="1" si="175"/>
        <v>78.254369999999966</v>
      </c>
      <c r="U421" s="311">
        <f t="shared" ca="1" si="176"/>
        <v>0</v>
      </c>
      <c r="V421" s="306">
        <f t="shared" ca="1" si="177"/>
        <v>1.1088211157042429</v>
      </c>
      <c r="W421" s="304">
        <f t="shared" ca="1" si="178"/>
        <v>20.988644344336393</v>
      </c>
      <c r="Y421" s="314" t="str">
        <f t="shared" ca="1" si="196"/>
        <v/>
      </c>
      <c r="Z421" s="315" t="str">
        <f t="shared" ca="1" si="197"/>
        <v/>
      </c>
      <c r="AA421" s="316" t="str">
        <f t="shared" ca="1" si="198"/>
        <v/>
      </c>
      <c r="AC421" s="310" t="e">
        <f t="shared" ca="1" si="199"/>
        <v>#N/A</v>
      </c>
      <c r="AD421" s="323" t="e">
        <f t="shared" ca="1" si="200"/>
        <v>#N/A</v>
      </c>
      <c r="AE421" s="324" t="e">
        <f t="shared" ca="1" si="179"/>
        <v>#N/A</v>
      </c>
      <c r="AG421" s="306">
        <f t="shared" ca="1" si="201"/>
        <v>6.8931696671296789</v>
      </c>
      <c r="AH421" s="304">
        <f t="shared" ca="1" si="202"/>
        <v>-2.5815307284505833</v>
      </c>
    </row>
    <row r="422" spans="1:34" x14ac:dyDescent="0.2">
      <c r="A422" s="347">
        <f t="shared" ca="1" si="180"/>
        <v>0.1</v>
      </c>
      <c r="B422" s="304">
        <f t="shared" ca="1" si="181"/>
        <v>23.800000000000072</v>
      </c>
      <c r="D422" s="306">
        <f t="shared" ca="1" si="182"/>
        <v>-0.67348244004361613</v>
      </c>
      <c r="E422" s="307">
        <f t="shared" ca="1" si="183"/>
        <v>-7.2665091189224871</v>
      </c>
      <c r="F422" s="304">
        <f t="shared" ca="1" si="184"/>
        <v>7.2976525932953793</v>
      </c>
      <c r="G422" s="306">
        <f t="shared" ca="1" si="185"/>
        <v>19.309186629563129</v>
      </c>
      <c r="H422" s="307">
        <f t="shared" ca="1" si="186"/>
        <v>-73.904564436419534</v>
      </c>
      <c r="I422" s="304">
        <f t="shared" ca="1" si="187"/>
        <v>76.385399997854208</v>
      </c>
      <c r="J422" s="306">
        <f t="shared" ca="1" si="188"/>
        <v>602.44236358593469</v>
      </c>
      <c r="K422" s="307">
        <f t="shared" ca="1" si="189"/>
        <v>988.25675230828654</v>
      </c>
      <c r="L422" s="304">
        <f t="shared" ca="1" si="174"/>
        <v>1157.4058103906034</v>
      </c>
      <c r="M422" s="306">
        <f t="shared" ca="1" si="190"/>
        <v>-1.3152372655470117</v>
      </c>
      <c r="N422" s="304">
        <f t="shared" ca="1" si="191"/>
        <v>-75.357544374170885</v>
      </c>
      <c r="P422" s="310">
        <f t="shared" ca="1" si="192"/>
        <v>23</v>
      </c>
      <c r="Q422" s="304">
        <f t="shared" ca="1" si="193"/>
        <v>0</v>
      </c>
      <c r="R422" s="306">
        <f t="shared" ca="1" si="194"/>
        <v>0</v>
      </c>
      <c r="S422" s="307">
        <f t="shared" ca="1" si="195"/>
        <v>7.9769999999999968</v>
      </c>
      <c r="T422" s="304">
        <f t="shared" ca="1" si="175"/>
        <v>78.254369999999966</v>
      </c>
      <c r="U422" s="311">
        <f t="shared" ca="1" si="176"/>
        <v>0</v>
      </c>
      <c r="V422" s="306">
        <f t="shared" ca="1" si="177"/>
        <v>1.1096388686907495</v>
      </c>
      <c r="W422" s="304">
        <f t="shared" ca="1" si="178"/>
        <v>21.386317394930479</v>
      </c>
      <c r="Y422" s="314" t="str">
        <f t="shared" ca="1" si="196"/>
        <v/>
      </c>
      <c r="Z422" s="315" t="str">
        <f t="shared" ca="1" si="197"/>
        <v/>
      </c>
      <c r="AA422" s="316" t="str">
        <f t="shared" ca="1" si="198"/>
        <v/>
      </c>
      <c r="AC422" s="310" t="e">
        <f t="shared" ca="1" si="199"/>
        <v>#N/A</v>
      </c>
      <c r="AD422" s="323" t="e">
        <f t="shared" ca="1" si="200"/>
        <v>#N/A</v>
      </c>
      <c r="AE422" s="324" t="e">
        <f t="shared" ca="1" si="179"/>
        <v>#N/A</v>
      </c>
      <c r="AG422" s="306">
        <f t="shared" ca="1" si="201"/>
        <v>6.8520436922578742</v>
      </c>
      <c r="AH422" s="304">
        <f t="shared" ca="1" si="202"/>
        <v>-2.6311450851618905</v>
      </c>
    </row>
    <row r="423" spans="1:34" x14ac:dyDescent="0.2">
      <c r="A423" s="347">
        <f t="shared" ca="1" si="180"/>
        <v>0.1</v>
      </c>
      <c r="B423" s="304">
        <f t="shared" ca="1" si="181"/>
        <v>23.900000000000073</v>
      </c>
      <c r="D423" s="306">
        <f t="shared" ca="1" si="182"/>
        <v>-0.67771958907243024</v>
      </c>
      <c r="E423" s="307">
        <f t="shared" ca="1" si="183"/>
        <v>-7.2160755638591922</v>
      </c>
      <c r="F423" s="304">
        <f t="shared" ca="1" si="184"/>
        <v>7.247830736485108</v>
      </c>
      <c r="G423" s="306">
        <f t="shared" ca="1" si="185"/>
        <v>19.241414670655885</v>
      </c>
      <c r="H423" s="307">
        <f t="shared" ca="1" si="186"/>
        <v>-74.626171992805453</v>
      </c>
      <c r="I423" s="304">
        <f t="shared" ca="1" si="187"/>
        <v>77.066838425018531</v>
      </c>
      <c r="J423" s="306">
        <f t="shared" ca="1" si="188"/>
        <v>604.36989365094564</v>
      </c>
      <c r="K423" s="307">
        <f t="shared" ca="1" si="189"/>
        <v>980.8302154868253</v>
      </c>
      <c r="L423" s="304">
        <f t="shared" ca="1" si="174"/>
        <v>1152.0811082400351</v>
      </c>
      <c r="M423" s="306">
        <f t="shared" ca="1" si="190"/>
        <v>-1.3184550417598728</v>
      </c>
      <c r="N423" s="304">
        <f t="shared" ca="1" si="191"/>
        <v>-75.541909370585415</v>
      </c>
      <c r="P423" s="310">
        <f t="shared" ca="1" si="192"/>
        <v>23</v>
      </c>
      <c r="Q423" s="304">
        <f t="shared" ca="1" si="193"/>
        <v>0</v>
      </c>
      <c r="R423" s="306">
        <f t="shared" ca="1" si="194"/>
        <v>0</v>
      </c>
      <c r="S423" s="307">
        <f t="shared" ca="1" si="195"/>
        <v>7.9769999999999968</v>
      </c>
      <c r="T423" s="304">
        <f t="shared" ca="1" si="175"/>
        <v>78.254369999999966</v>
      </c>
      <c r="U423" s="311">
        <f t="shared" ca="1" si="176"/>
        <v>0</v>
      </c>
      <c r="V423" s="306">
        <f t="shared" ca="1" si="177"/>
        <v>1.1104652555088625</v>
      </c>
      <c r="W423" s="304">
        <f t="shared" ca="1" si="178"/>
        <v>21.785809077003265</v>
      </c>
      <c r="Y423" s="314" t="str">
        <f t="shared" ca="1" si="196"/>
        <v/>
      </c>
      <c r="Z423" s="315" t="str">
        <f t="shared" ca="1" si="197"/>
        <v/>
      </c>
      <c r="AA423" s="316" t="str">
        <f t="shared" ca="1" si="198"/>
        <v/>
      </c>
      <c r="AC423" s="310" t="e">
        <f t="shared" ca="1" si="199"/>
        <v>#N/A</v>
      </c>
      <c r="AD423" s="323" t="e">
        <f t="shared" ca="1" si="200"/>
        <v>#N/A</v>
      </c>
      <c r="AE423" s="324" t="e">
        <f t="shared" ca="1" si="179"/>
        <v>#N/A</v>
      </c>
      <c r="AG423" s="306">
        <f t="shared" ca="1" si="201"/>
        <v>6.810394492586374</v>
      </c>
      <c r="AH423" s="304">
        <f t="shared" ca="1" si="202"/>
        <v>-2.6809975423004246</v>
      </c>
    </row>
    <row r="424" spans="1:34" x14ac:dyDescent="0.2">
      <c r="A424" s="347">
        <f t="shared" ca="1" si="180"/>
        <v>0.1</v>
      </c>
      <c r="B424" s="304">
        <f t="shared" ca="1" si="181"/>
        <v>24.000000000000075</v>
      </c>
      <c r="D424" s="306">
        <f t="shared" ca="1" si="182"/>
        <v>-0.68187309948985197</v>
      </c>
      <c r="E424" s="307">
        <f t="shared" ca="1" si="183"/>
        <v>-7.1654138263336691</v>
      </c>
      <c r="F424" s="304">
        <f t="shared" ca="1" si="184"/>
        <v>7.1977848138452716</v>
      </c>
      <c r="G424" s="306">
        <f t="shared" ca="1" si="185"/>
        <v>19.1732273607069</v>
      </c>
      <c r="H424" s="307">
        <f t="shared" ca="1" si="186"/>
        <v>-75.342713375438819</v>
      </c>
      <c r="I424" s="304">
        <f t="shared" ca="1" si="187"/>
        <v>77.744048686692977</v>
      </c>
      <c r="J424" s="306">
        <f t="shared" ca="1" si="188"/>
        <v>606.29062575251373</v>
      </c>
      <c r="K424" s="307">
        <f t="shared" ca="1" si="189"/>
        <v>973.33177121841311</v>
      </c>
      <c r="L424" s="304">
        <f t="shared" ca="1" si="174"/>
        <v>1146.7183872854521</v>
      </c>
      <c r="M424" s="306">
        <f t="shared" ca="1" si="190"/>
        <v>-1.3216054876749679</v>
      </c>
      <c r="N424" s="304">
        <f t="shared" ca="1" si="191"/>
        <v>-75.7224166251046</v>
      </c>
      <c r="P424" s="310">
        <f t="shared" ca="1" si="192"/>
        <v>23</v>
      </c>
      <c r="Q424" s="304">
        <f t="shared" ca="1" si="193"/>
        <v>0</v>
      </c>
      <c r="R424" s="306">
        <f t="shared" ca="1" si="194"/>
        <v>0</v>
      </c>
      <c r="S424" s="307">
        <f t="shared" ca="1" si="195"/>
        <v>7.9769999999999968</v>
      </c>
      <c r="T424" s="304">
        <f t="shared" ca="1" si="175"/>
        <v>78.254369999999966</v>
      </c>
      <c r="U424" s="311">
        <f t="shared" ca="1" si="176"/>
        <v>0</v>
      </c>
      <c r="V424" s="306">
        <f t="shared" ca="1" si="177"/>
        <v>1.1113002375827776</v>
      </c>
      <c r="W424" s="304">
        <f t="shared" ca="1" si="178"/>
        <v>22.187039023301161</v>
      </c>
      <c r="Y424" s="314" t="str">
        <f t="shared" ca="1" si="196"/>
        <v/>
      </c>
      <c r="Z424" s="315" t="str">
        <f t="shared" ca="1" si="197"/>
        <v/>
      </c>
      <c r="AA424" s="316" t="str">
        <f t="shared" ca="1" si="198"/>
        <v/>
      </c>
      <c r="AC424" s="310">
        <f t="shared" ca="1" si="199"/>
        <v>24.000000000000075</v>
      </c>
      <c r="AD424" s="323">
        <f t="shared" ca="1" si="200"/>
        <v>606.29062575251373</v>
      </c>
      <c r="AE424" s="324" t="e">
        <f t="shared" ca="1" si="179"/>
        <v>#N/A</v>
      </c>
      <c r="AG424" s="306">
        <f t="shared" ca="1" si="201"/>
        <v>6.7682444512245805</v>
      </c>
      <c r="AH424" s="304">
        <f t="shared" ca="1" si="202"/>
        <v>-2.7310779838289174</v>
      </c>
    </row>
    <row r="425" spans="1:34" x14ac:dyDescent="0.2">
      <c r="A425" s="347">
        <f t="shared" ca="1" si="180"/>
        <v>0.1</v>
      </c>
      <c r="B425" s="304">
        <f t="shared" ca="1" si="181"/>
        <v>24.100000000000076</v>
      </c>
      <c r="D425" s="306">
        <f t="shared" ca="1" si="182"/>
        <v>-0.68594267657922758</v>
      </c>
      <c r="E425" s="307">
        <f t="shared" ca="1" si="183"/>
        <v>-7.1145339993514467</v>
      </c>
      <c r="F425" s="304">
        <f t="shared" ca="1" si="184"/>
        <v>7.1475248431523735</v>
      </c>
      <c r="G425" s="306">
        <f t="shared" ca="1" si="185"/>
        <v>19.104633093048978</v>
      </c>
      <c r="H425" s="307">
        <f t="shared" ca="1" si="186"/>
        <v>-76.054166775373957</v>
      </c>
      <c r="I425" s="304">
        <f t="shared" ca="1" si="187"/>
        <v>78.416983425253093</v>
      </c>
      <c r="J425" s="306">
        <f t="shared" ca="1" si="188"/>
        <v>608.20451877520156</v>
      </c>
      <c r="K425" s="307">
        <f t="shared" ca="1" si="189"/>
        <v>965.7619272108725</v>
      </c>
      <c r="L425" s="304">
        <f t="shared" ca="1" si="174"/>
        <v>1141.3189022830704</v>
      </c>
      <c r="M425" s="306">
        <f t="shared" ca="1" si="190"/>
        <v>-1.3246907182971155</v>
      </c>
      <c r="N425" s="304">
        <f t="shared" ca="1" si="191"/>
        <v>-75.899187318578171</v>
      </c>
      <c r="P425" s="310">
        <f t="shared" ca="1" si="192"/>
        <v>23</v>
      </c>
      <c r="Q425" s="304">
        <f t="shared" ca="1" si="193"/>
        <v>0</v>
      </c>
      <c r="R425" s="306">
        <f t="shared" ca="1" si="194"/>
        <v>0</v>
      </c>
      <c r="S425" s="307">
        <f t="shared" ca="1" si="195"/>
        <v>7.9769999999999968</v>
      </c>
      <c r="T425" s="304">
        <f t="shared" ca="1" si="175"/>
        <v>78.254369999999966</v>
      </c>
      <c r="U425" s="311">
        <f t="shared" ca="1" si="176"/>
        <v>0</v>
      </c>
      <c r="V425" s="306">
        <f t="shared" ca="1" si="177"/>
        <v>1.1121437761297996</v>
      </c>
      <c r="W425" s="304">
        <f t="shared" ca="1" si="178"/>
        <v>22.589927221958579</v>
      </c>
      <c r="Y425" s="314" t="str">
        <f t="shared" ca="1" si="196"/>
        <v/>
      </c>
      <c r="Z425" s="315" t="str">
        <f t="shared" ca="1" si="197"/>
        <v/>
      </c>
      <c r="AA425" s="316" t="str">
        <f t="shared" ca="1" si="198"/>
        <v/>
      </c>
      <c r="AC425" s="310" t="e">
        <f t="shared" ca="1" si="199"/>
        <v>#N/A</v>
      </c>
      <c r="AD425" s="323" t="e">
        <f t="shared" ca="1" si="200"/>
        <v>#N/A</v>
      </c>
      <c r="AE425" s="324" t="e">
        <f t="shared" ca="1" si="179"/>
        <v>#N/A</v>
      </c>
      <c r="AG425" s="306">
        <f t="shared" ca="1" si="201"/>
        <v>6.7256152702526162</v>
      </c>
      <c r="AH425" s="304">
        <f t="shared" ca="1" si="202"/>
        <v>-2.781376334875413</v>
      </c>
    </row>
    <row r="426" spans="1:34" x14ac:dyDescent="0.2">
      <c r="A426" s="347">
        <f t="shared" ca="1" si="180"/>
        <v>0.1</v>
      </c>
      <c r="B426" s="304">
        <f t="shared" ca="1" si="181"/>
        <v>24.200000000000077</v>
      </c>
      <c r="D426" s="306">
        <f t="shared" ca="1" si="182"/>
        <v>-0.68992806157586006</v>
      </c>
      <c r="E426" s="307">
        <f t="shared" ca="1" si="183"/>
        <v>-7.063446135158058</v>
      </c>
      <c r="F426" s="304">
        <f t="shared" ca="1" si="184"/>
        <v>7.0970608025033242</v>
      </c>
      <c r="G426" s="306">
        <f t="shared" ca="1" si="185"/>
        <v>19.035640286891393</v>
      </c>
      <c r="H426" s="307">
        <f t="shared" ca="1" si="186"/>
        <v>-76.760511388889768</v>
      </c>
      <c r="I426" s="304">
        <f t="shared" ca="1" si="187"/>
        <v>79.085597360175498</v>
      </c>
      <c r="J426" s="306">
        <f t="shared" ca="1" si="188"/>
        <v>610.11153244419859</v>
      </c>
      <c r="K426" s="307">
        <f t="shared" ca="1" si="189"/>
        <v>958.12119330265932</v>
      </c>
      <c r="L426" s="304">
        <f t="shared" ca="1" si="174"/>
        <v>1135.8839302838651</v>
      </c>
      <c r="M426" s="306">
        <f t="shared" ca="1" si="190"/>
        <v>-1.3277127626839575</v>
      </c>
      <c r="N426" s="304">
        <f t="shared" ca="1" si="191"/>
        <v>-76.072337707445428</v>
      </c>
      <c r="P426" s="310">
        <f t="shared" ca="1" si="192"/>
        <v>23</v>
      </c>
      <c r="Q426" s="304">
        <f t="shared" ca="1" si="193"/>
        <v>0</v>
      </c>
      <c r="R426" s="306">
        <f t="shared" ca="1" si="194"/>
        <v>0</v>
      </c>
      <c r="S426" s="307">
        <f t="shared" ca="1" si="195"/>
        <v>7.9769999999999968</v>
      </c>
      <c r="T426" s="304">
        <f t="shared" ca="1" si="175"/>
        <v>78.254369999999966</v>
      </c>
      <c r="U426" s="311">
        <f t="shared" ca="1" si="176"/>
        <v>0</v>
      </c>
      <c r="V426" s="306">
        <f t="shared" ca="1" si="177"/>
        <v>1.1129958321673583</v>
      </c>
      <c r="W426" s="304">
        <f t="shared" ca="1" si="178"/>
        <v>22.994394042977458</v>
      </c>
      <c r="Y426" s="314" t="str">
        <f t="shared" ca="1" si="196"/>
        <v/>
      </c>
      <c r="Z426" s="315" t="str">
        <f t="shared" ca="1" si="197"/>
        <v/>
      </c>
      <c r="AA426" s="316" t="str">
        <f t="shared" ca="1" si="198"/>
        <v/>
      </c>
      <c r="AC426" s="310" t="e">
        <f t="shared" ca="1" si="199"/>
        <v>#N/A</v>
      </c>
      <c r="AD426" s="323" t="e">
        <f t="shared" ca="1" si="200"/>
        <v>#N/A</v>
      </c>
      <c r="AE426" s="324" t="e">
        <f t="shared" ca="1" si="179"/>
        <v>#N/A</v>
      </c>
      <c r="AG426" s="306">
        <f t="shared" ca="1" si="201"/>
        <v>6.6825280061260521</v>
      </c>
      <c r="AH426" s="304">
        <f t="shared" ca="1" si="202"/>
        <v>-2.8318825651195421</v>
      </c>
    </row>
    <row r="427" spans="1:34" x14ac:dyDescent="0.2">
      <c r="A427" s="347">
        <f t="shared" ca="1" si="180"/>
        <v>0.1</v>
      </c>
      <c r="B427" s="304">
        <f t="shared" ca="1" si="181"/>
        <v>24.300000000000079</v>
      </c>
      <c r="D427" s="306">
        <f t="shared" ca="1" si="182"/>
        <v>-0.69382903080220848</v>
      </c>
      <c r="E427" s="307">
        <f t="shared" ca="1" si="183"/>
        <v>-7.0121602416226017</v>
      </c>
      <c r="F427" s="304">
        <f t="shared" ca="1" si="184"/>
        <v>7.0464026267434274</v>
      </c>
      <c r="G427" s="306">
        <f t="shared" ca="1" si="185"/>
        <v>18.966257383811172</v>
      </c>
      <c r="H427" s="307">
        <f t="shared" ca="1" si="186"/>
        <v>-77.461727413052031</v>
      </c>
      <c r="I427" s="304">
        <f t="shared" ca="1" si="187"/>
        <v>79.749847228461505</v>
      </c>
      <c r="J427" s="306">
        <f t="shared" ca="1" si="188"/>
        <v>612.01162732773366</v>
      </c>
      <c r="K427" s="307">
        <f t="shared" ca="1" si="189"/>
        <v>950.41008136256221</v>
      </c>
      <c r="L427" s="304">
        <f t="shared" ca="1" si="174"/>
        <v>1130.4147711083453</v>
      </c>
      <c r="M427" s="306">
        <f t="shared" ca="1" si="190"/>
        <v>-1.3306735681387603</v>
      </c>
      <c r="N427" s="304">
        <f t="shared" ca="1" si="191"/>
        <v>-76.24197936396493</v>
      </c>
      <c r="P427" s="310">
        <f t="shared" ca="1" si="192"/>
        <v>23</v>
      </c>
      <c r="Q427" s="304">
        <f t="shared" ca="1" si="193"/>
        <v>0</v>
      </c>
      <c r="R427" s="306">
        <f t="shared" ca="1" si="194"/>
        <v>0</v>
      </c>
      <c r="S427" s="307">
        <f t="shared" ca="1" si="195"/>
        <v>7.9769999999999968</v>
      </c>
      <c r="T427" s="304">
        <f t="shared" ca="1" si="175"/>
        <v>78.254369999999966</v>
      </c>
      <c r="U427" s="311">
        <f t="shared" ca="1" si="176"/>
        <v>0</v>
      </c>
      <c r="V427" s="306">
        <f t="shared" ca="1" si="177"/>
        <v>1.1138563665200181</v>
      </c>
      <c r="W427" s="304">
        <f t="shared" ca="1" si="178"/>
        <v>23.400360264163279</v>
      </c>
      <c r="Y427" s="314" t="str">
        <f t="shared" ca="1" si="196"/>
        <v/>
      </c>
      <c r="Z427" s="315" t="str">
        <f t="shared" ca="1" si="197"/>
        <v/>
      </c>
      <c r="AA427" s="316" t="str">
        <f t="shared" ca="1" si="198"/>
        <v/>
      </c>
      <c r="AC427" s="310" t="e">
        <f t="shared" ca="1" si="199"/>
        <v>#N/A</v>
      </c>
      <c r="AD427" s="323" t="e">
        <f t="shared" ca="1" si="200"/>
        <v>#N/A</v>
      </c>
      <c r="AE427" s="324" t="e">
        <f t="shared" ca="1" si="179"/>
        <v>#N/A</v>
      </c>
      <c r="AG427" s="306">
        <f t="shared" ca="1" si="201"/>
        <v>6.6390031024945309</v>
      </c>
      <c r="AH427" s="304">
        <f t="shared" ca="1" si="202"/>
        <v>-2.8825866921120054</v>
      </c>
    </row>
    <row r="428" spans="1:34" x14ac:dyDescent="0.2">
      <c r="A428" s="347">
        <f t="shared" ca="1" si="180"/>
        <v>0.1</v>
      </c>
      <c r="B428" s="304">
        <f t="shared" ca="1" si="181"/>
        <v>24.40000000000008</v>
      </c>
      <c r="D428" s="306">
        <f t="shared" ca="1" si="182"/>
        <v>-0.69764539482919741</v>
      </c>
      <c r="E428" s="307">
        <f t="shared" ca="1" si="183"/>
        <v>-6.9606862787089767</v>
      </c>
      <c r="F428" s="304">
        <f t="shared" ca="1" si="184"/>
        <v>6.9955602039817952</v>
      </c>
      <c r="G428" s="306">
        <f t="shared" ca="1" si="185"/>
        <v>18.896492844328254</v>
      </c>
      <c r="H428" s="307">
        <f t="shared" ca="1" si="186"/>
        <v>-78.157796040922932</v>
      </c>
      <c r="I428" s="304">
        <f t="shared" ca="1" si="187"/>
        <v>80.409691727989212</v>
      </c>
      <c r="J428" s="306">
        <f t="shared" ca="1" si="188"/>
        <v>613.90476483914063</v>
      </c>
      <c r="K428" s="307">
        <f t="shared" ca="1" si="189"/>
        <v>942.62910518986348</v>
      </c>
      <c r="L428" s="304">
        <f t="shared" ca="1" si="174"/>
        <v>1124.9127478356902</v>
      </c>
      <c r="M428" s="306">
        <f t="shared" ca="1" si="190"/>
        <v>-1.333575004168092</v>
      </c>
      <c r="N428" s="304">
        <f t="shared" ca="1" si="191"/>
        <v>-76.408219402972847</v>
      </c>
      <c r="P428" s="310">
        <f t="shared" ca="1" si="192"/>
        <v>23</v>
      </c>
      <c r="Q428" s="304">
        <f t="shared" ca="1" si="193"/>
        <v>0</v>
      </c>
      <c r="R428" s="306">
        <f t="shared" ca="1" si="194"/>
        <v>0</v>
      </c>
      <c r="S428" s="307">
        <f t="shared" ca="1" si="195"/>
        <v>7.9769999999999968</v>
      </c>
      <c r="T428" s="304">
        <f t="shared" ca="1" si="175"/>
        <v>78.254369999999966</v>
      </c>
      <c r="U428" s="311">
        <f t="shared" ca="1" si="176"/>
        <v>0</v>
      </c>
      <c r="V428" s="306">
        <f t="shared" ca="1" si="177"/>
        <v>1.1147253398264665</v>
      </c>
      <c r="W428" s="304">
        <f t="shared" ca="1" si="178"/>
        <v>23.807747096507228</v>
      </c>
      <c r="Y428" s="314" t="str">
        <f t="shared" ca="1" si="196"/>
        <v/>
      </c>
      <c r="Z428" s="315" t="str">
        <f t="shared" ca="1" si="197"/>
        <v/>
      </c>
      <c r="AA428" s="316" t="str">
        <f t="shared" ca="1" si="198"/>
        <v/>
      </c>
      <c r="AC428" s="310" t="e">
        <f t="shared" ca="1" si="199"/>
        <v>#N/A</v>
      </c>
      <c r="AD428" s="323" t="e">
        <f t="shared" ca="1" si="200"/>
        <v>#N/A</v>
      </c>
      <c r="AE428" s="324" t="e">
        <f t="shared" ca="1" si="179"/>
        <v>#N/A</v>
      </c>
      <c r="AG428" s="306">
        <f t="shared" ca="1" si="201"/>
        <v>6.5950604206356385</v>
      </c>
      <c r="AH428" s="304">
        <f t="shared" ca="1" si="202"/>
        <v>-2.9334787845259229</v>
      </c>
    </row>
    <row r="429" spans="1:34" x14ac:dyDescent="0.2">
      <c r="A429" s="347">
        <f t="shared" ca="1" si="180"/>
        <v>0.1</v>
      </c>
      <c r="B429" s="304">
        <f t="shared" ca="1" si="181"/>
        <v>24.500000000000082</v>
      </c>
      <c r="D429" s="306">
        <f t="shared" ca="1" si="182"/>
        <v>-0.70137699766159001</v>
      </c>
      <c r="E429" s="307">
        <f t="shared" ca="1" si="183"/>
        <v>-6.9090341550345968</v>
      </c>
      <c r="F429" s="304">
        <f t="shared" ca="1" si="184"/>
        <v>6.9445433721939853</v>
      </c>
      <c r="G429" s="306">
        <f t="shared" ca="1" si="185"/>
        <v>18.826355144562093</v>
      </c>
      <c r="H429" s="307">
        <f t="shared" ca="1" si="186"/>
        <v>-78.848699456426388</v>
      </c>
      <c r="I429" s="304">
        <f t="shared" ca="1" si="187"/>
        <v>81.065091463582746</v>
      </c>
      <c r="J429" s="306">
        <f t="shared" ca="1" si="188"/>
        <v>615.79090723858519</v>
      </c>
      <c r="K429" s="307">
        <f t="shared" ca="1" si="189"/>
        <v>934.77878041499605</v>
      </c>
      <c r="L429" s="304">
        <f t="shared" ca="1" si="174"/>
        <v>1119.3792073072768</v>
      </c>
      <c r="M429" s="306">
        <f t="shared" ca="1" si="190"/>
        <v>-1.3364188662190308</v>
      </c>
      <c r="N429" s="304">
        <f t="shared" ca="1" si="191"/>
        <v>-76.571160696009059</v>
      </c>
      <c r="P429" s="310">
        <f t="shared" ca="1" si="192"/>
        <v>23</v>
      </c>
      <c r="Q429" s="304">
        <f t="shared" ca="1" si="193"/>
        <v>0</v>
      </c>
      <c r="R429" s="306">
        <f t="shared" ca="1" si="194"/>
        <v>0</v>
      </c>
      <c r="S429" s="307">
        <f t="shared" ca="1" si="195"/>
        <v>7.9769999999999968</v>
      </c>
      <c r="T429" s="304">
        <f t="shared" ca="1" si="175"/>
        <v>78.254369999999966</v>
      </c>
      <c r="U429" s="311">
        <f t="shared" ca="1" si="176"/>
        <v>0</v>
      </c>
      <c r="V429" s="306">
        <f t="shared" ca="1" si="177"/>
        <v>1.1156027125464882</v>
      </c>
      <c r="W429" s="304">
        <f t="shared" ca="1" si="178"/>
        <v>24.216476209005023</v>
      </c>
      <c r="Y429" s="314" t="str">
        <f t="shared" ca="1" si="196"/>
        <v/>
      </c>
      <c r="Z429" s="315" t="str">
        <f t="shared" ca="1" si="197"/>
        <v/>
      </c>
      <c r="AA429" s="316" t="str">
        <f t="shared" ca="1" si="198"/>
        <v/>
      </c>
      <c r="AC429" s="310" t="e">
        <f t="shared" ca="1" si="199"/>
        <v>#N/A</v>
      </c>
      <c r="AD429" s="323" t="e">
        <f t="shared" ca="1" si="200"/>
        <v>#N/A</v>
      </c>
      <c r="AE429" s="324" t="e">
        <f t="shared" ca="1" si="179"/>
        <v>#N/A</v>
      </c>
      <c r="AG429" s="306">
        <f t="shared" ca="1" si="201"/>
        <v>6.5507192676890469</v>
      </c>
      <c r="AH429" s="304">
        <f t="shared" ca="1" si="202"/>
        <v>-2.9845489653387536</v>
      </c>
    </row>
    <row r="430" spans="1:34" x14ac:dyDescent="0.2">
      <c r="A430" s="347">
        <f t="shared" ca="1" si="180"/>
        <v>0.1</v>
      </c>
      <c r="B430" s="304">
        <f t="shared" ca="1" si="181"/>
        <v>24.600000000000083</v>
      </c>
      <c r="D430" s="306">
        <f t="shared" ca="1" si="182"/>
        <v>-0.70502371594553936</v>
      </c>
      <c r="E430" s="307">
        <f t="shared" ca="1" si="183"/>
        <v>-6.8572137245164129</v>
      </c>
      <c r="F430" s="304">
        <f t="shared" ca="1" si="184"/>
        <v>6.8933619159117061</v>
      </c>
      <c r="G430" s="306">
        <f t="shared" ca="1" si="185"/>
        <v>18.75585277296754</v>
      </c>
      <c r="H430" s="307">
        <f t="shared" ca="1" si="186"/>
        <v>-79.534420828878027</v>
      </c>
      <c r="I430" s="304">
        <f t="shared" ca="1" si="187"/>
        <v>81.716008895603196</v>
      </c>
      <c r="J430" s="306">
        <f t="shared" ca="1" si="188"/>
        <v>617.67001763446171</v>
      </c>
      <c r="K430" s="307">
        <f t="shared" ca="1" si="189"/>
        <v>926.85962440073081</v>
      </c>
      <c r="L430" s="304">
        <f t="shared" ca="1" si="174"/>
        <v>1113.8155206446083</v>
      </c>
      <c r="M430" s="306">
        <f t="shared" ca="1" si="190"/>
        <v>-1.339206879209565</v>
      </c>
      <c r="N430" s="304">
        <f t="shared" ca="1" si="191"/>
        <v>-76.730902073594308</v>
      </c>
      <c r="P430" s="310">
        <f t="shared" ca="1" si="192"/>
        <v>23</v>
      </c>
      <c r="Q430" s="304">
        <f t="shared" ca="1" si="193"/>
        <v>0</v>
      </c>
      <c r="R430" s="306">
        <f t="shared" ca="1" si="194"/>
        <v>0</v>
      </c>
      <c r="S430" s="307">
        <f t="shared" ca="1" si="195"/>
        <v>7.9769999999999968</v>
      </c>
      <c r="T430" s="304">
        <f t="shared" ca="1" si="175"/>
        <v>78.254369999999966</v>
      </c>
      <c r="U430" s="311">
        <f t="shared" ca="1" si="176"/>
        <v>0</v>
      </c>
      <c r="V430" s="306">
        <f t="shared" ca="1" si="177"/>
        <v>1.1164884449679191</v>
      </c>
      <c r="W430" s="304">
        <f t="shared" ca="1" si="178"/>
        <v>24.626469752903471</v>
      </c>
      <c r="Y430" s="314" t="str">
        <f t="shared" ca="1" si="196"/>
        <v/>
      </c>
      <c r="Z430" s="315" t="str">
        <f t="shared" ca="1" si="197"/>
        <v/>
      </c>
      <c r="AA430" s="316" t="str">
        <f t="shared" ca="1" si="198"/>
        <v/>
      </c>
      <c r="AC430" s="310" t="e">
        <f t="shared" ca="1" si="199"/>
        <v>#N/A</v>
      </c>
      <c r="AD430" s="323" t="e">
        <f t="shared" ca="1" si="200"/>
        <v>#N/A</v>
      </c>
      <c r="AE430" s="324" t="e">
        <f t="shared" ca="1" si="179"/>
        <v>#N/A</v>
      </c>
      <c r="AG430" s="306">
        <f t="shared" ca="1" si="201"/>
        <v>6.5059984228609409</v>
      </c>
      <c r="AH430" s="304">
        <f t="shared" ca="1" si="202"/>
        <v>-3.0357874149435919</v>
      </c>
    </row>
    <row r="431" spans="1:34" x14ac:dyDescent="0.2">
      <c r="A431" s="347">
        <f t="shared" ca="1" si="180"/>
        <v>0.1</v>
      </c>
      <c r="B431" s="304">
        <f t="shared" ca="1" si="181"/>
        <v>24.700000000000085</v>
      </c>
      <c r="D431" s="306">
        <f t="shared" ca="1" si="182"/>
        <v>-0.70858545819661534</v>
      </c>
      <c r="E431" s="307">
        <f t="shared" ca="1" si="183"/>
        <v>-6.8052347831041216</v>
      </c>
      <c r="F431" s="304">
        <f t="shared" ca="1" si="184"/>
        <v>6.8420255629994475</v>
      </c>
      <c r="G431" s="306">
        <f t="shared" ca="1" si="185"/>
        <v>18.684994227147879</v>
      </c>
      <c r="H431" s="307">
        <f t="shared" ca="1" si="186"/>
        <v>-80.214944307188432</v>
      </c>
      <c r="I431" s="304">
        <f t="shared" ca="1" si="187"/>
        <v>82.36240829088166</v>
      </c>
      <c r="J431" s="306">
        <f t="shared" ca="1" si="188"/>
        <v>619.54205998446753</v>
      </c>
      <c r="K431" s="307">
        <f t="shared" ca="1" si="189"/>
        <v>918.87215614392744</v>
      </c>
      <c r="L431" s="304">
        <f t="shared" ca="1" si="174"/>
        <v>1108.2230837815948</v>
      </c>
      <c r="M431" s="306">
        <f t="shared" ca="1" si="190"/>
        <v>-1.3419407008649449</v>
      </c>
      <c r="N431" s="304">
        <f t="shared" ca="1" si="191"/>
        <v>-76.887538516389043</v>
      </c>
      <c r="P431" s="310">
        <f t="shared" ca="1" si="192"/>
        <v>23</v>
      </c>
      <c r="Q431" s="304">
        <f t="shared" ca="1" si="193"/>
        <v>0</v>
      </c>
      <c r="R431" s="306">
        <f t="shared" ca="1" si="194"/>
        <v>0</v>
      </c>
      <c r="S431" s="307">
        <f t="shared" ca="1" si="195"/>
        <v>7.9769999999999968</v>
      </c>
      <c r="T431" s="304">
        <f t="shared" ca="1" si="175"/>
        <v>78.254369999999966</v>
      </c>
      <c r="U431" s="311">
        <f t="shared" ca="1" si="176"/>
        <v>0</v>
      </c>
      <c r="V431" s="306">
        <f t="shared" ca="1" si="177"/>
        <v>1.1173824972135782</v>
      </c>
      <c r="W431" s="304">
        <f t="shared" ca="1" si="178"/>
        <v>25.037650385366728</v>
      </c>
      <c r="Y431" s="314" t="str">
        <f t="shared" ca="1" si="196"/>
        <v/>
      </c>
      <c r="Z431" s="315" t="str">
        <f t="shared" ca="1" si="197"/>
        <v/>
      </c>
      <c r="AA431" s="316" t="str">
        <f t="shared" ca="1" si="198"/>
        <v/>
      </c>
      <c r="AC431" s="310" t="e">
        <f t="shared" ca="1" si="199"/>
        <v>#N/A</v>
      </c>
      <c r="AD431" s="323" t="e">
        <f t="shared" ca="1" si="200"/>
        <v>#N/A</v>
      </c>
      <c r="AE431" s="324" t="e">
        <f t="shared" ca="1" si="179"/>
        <v>#N/A</v>
      </c>
      <c r="AG431" s="306">
        <f t="shared" ca="1" si="201"/>
        <v>6.4609161617550255</v>
      </c>
      <c r="AH431" s="304">
        <f t="shared" ca="1" si="202"/>
        <v>-3.0871843741887277</v>
      </c>
    </row>
    <row r="432" spans="1:34" x14ac:dyDescent="0.2">
      <c r="A432" s="347">
        <f t="shared" ca="1" si="180"/>
        <v>0.1</v>
      </c>
      <c r="B432" s="304">
        <f t="shared" ca="1" si="181"/>
        <v>24.800000000000086</v>
      </c>
      <c r="D432" s="306">
        <f t="shared" ca="1" si="182"/>
        <v>-0.71206216404673817</v>
      </c>
      <c r="E432" s="307">
        <f t="shared" ca="1" si="183"/>
        <v>-6.7531070656004264</v>
      </c>
      <c r="F432" s="304">
        <f t="shared" ca="1" si="184"/>
        <v>6.790543981517926</v>
      </c>
      <c r="G432" s="306">
        <f t="shared" ca="1" si="185"/>
        <v>18.613788010743207</v>
      </c>
      <c r="H432" s="307">
        <f t="shared" ca="1" si="186"/>
        <v>-80.890255013748472</v>
      </c>
      <c r="I432" s="304">
        <f t="shared" ca="1" si="187"/>
        <v>83.004255675827537</v>
      </c>
      <c r="J432" s="306">
        <f t="shared" ca="1" si="188"/>
        <v>621.40699909636203</v>
      </c>
      <c r="K432" s="307">
        <f t="shared" ca="1" si="189"/>
        <v>910.81689617788061</v>
      </c>
      <c r="L432" s="304">
        <f t="shared" ca="1" si="174"/>
        <v>1102.6033180110853</v>
      </c>
      <c r="M432" s="306">
        <f t="shared" ca="1" si="190"/>
        <v>-1.3446219248718803</v>
      </c>
      <c r="N432" s="304">
        <f t="shared" ca="1" si="191"/>
        <v>-77.041161335915589</v>
      </c>
      <c r="P432" s="310">
        <f t="shared" ca="1" si="192"/>
        <v>23</v>
      </c>
      <c r="Q432" s="304">
        <f t="shared" ca="1" si="193"/>
        <v>0</v>
      </c>
      <c r="R432" s="306">
        <f t="shared" ca="1" si="194"/>
        <v>0</v>
      </c>
      <c r="S432" s="307">
        <f t="shared" ca="1" si="195"/>
        <v>7.9769999999999968</v>
      </c>
      <c r="T432" s="304">
        <f t="shared" ca="1" si="175"/>
        <v>78.254369999999966</v>
      </c>
      <c r="U432" s="311">
        <f t="shared" ca="1" si="176"/>
        <v>0</v>
      </c>
      <c r="V432" s="306">
        <f t="shared" ca="1" si="177"/>
        <v>1.1182848292481735</v>
      </c>
      <c r="W432" s="304">
        <f t="shared" ca="1" si="178"/>
        <v>25.449941292554442</v>
      </c>
      <c r="Y432" s="314" t="str">
        <f t="shared" ca="1" si="196"/>
        <v/>
      </c>
      <c r="Z432" s="315" t="str">
        <f t="shared" ca="1" si="197"/>
        <v/>
      </c>
      <c r="AA432" s="316" t="str">
        <f t="shared" ca="1" si="198"/>
        <v/>
      </c>
      <c r="AC432" s="310" t="e">
        <f t="shared" ca="1" si="199"/>
        <v>#N/A</v>
      </c>
      <c r="AD432" s="323" t="e">
        <f t="shared" ca="1" si="200"/>
        <v>#N/A</v>
      </c>
      <c r="AE432" s="324" t="e">
        <f t="shared" ca="1" si="179"/>
        <v>#N/A</v>
      </c>
      <c r="AG432" s="306">
        <f t="shared" ca="1" si="201"/>
        <v>6.4154902789739552</v>
      </c>
      <c r="AH432" s="304">
        <f t="shared" ca="1" si="202"/>
        <v>-3.1387301473444578</v>
      </c>
    </row>
    <row r="433" spans="1:34" x14ac:dyDescent="0.2">
      <c r="A433" s="347">
        <f t="shared" ca="1" si="180"/>
        <v>0.1</v>
      </c>
      <c r="B433" s="304">
        <f t="shared" ca="1" si="181"/>
        <v>24.900000000000087</v>
      </c>
      <c r="D433" s="306">
        <f t="shared" ca="1" si="182"/>
        <v>-0.71545380350860788</v>
      </c>
      <c r="E433" s="307">
        <f t="shared" ca="1" si="183"/>
        <v>-6.7008402425682938</v>
      </c>
      <c r="F433" s="304">
        <f t="shared" ca="1" si="184"/>
        <v>6.7389267766742833</v>
      </c>
      <c r="G433" s="306">
        <f t="shared" ca="1" si="185"/>
        <v>18.542242630392344</v>
      </c>
      <c r="H433" s="307">
        <f t="shared" ca="1" si="186"/>
        <v>-81.560339038005296</v>
      </c>
      <c r="I433" s="304">
        <f t="shared" ca="1" si="187"/>
        <v>83.641518791558951</v>
      </c>
      <c r="J433" s="306">
        <f t="shared" ca="1" si="188"/>
        <v>623.26480062841881</v>
      </c>
      <c r="K433" s="307">
        <f t="shared" ca="1" si="189"/>
        <v>902.6943664752929</v>
      </c>
      <c r="L433" s="304">
        <f t="shared" ca="1" si="174"/>
        <v>1096.9576705455015</v>
      </c>
      <c r="M433" s="306">
        <f t="shared" ca="1" si="190"/>
        <v>-1.3472520838616999</v>
      </c>
      <c r="N433" s="304">
        <f t="shared" ca="1" si="191"/>
        <v>-77.191858345480654</v>
      </c>
      <c r="P433" s="310">
        <f t="shared" ca="1" si="192"/>
        <v>23</v>
      </c>
      <c r="Q433" s="304">
        <f t="shared" ca="1" si="193"/>
        <v>0</v>
      </c>
      <c r="R433" s="306">
        <f t="shared" ca="1" si="194"/>
        <v>0</v>
      </c>
      <c r="S433" s="307">
        <f t="shared" ca="1" si="195"/>
        <v>7.9769999999999968</v>
      </c>
      <c r="T433" s="304">
        <f t="shared" ca="1" si="175"/>
        <v>78.254369999999966</v>
      </c>
      <c r="U433" s="311">
        <f t="shared" ca="1" si="176"/>
        <v>0</v>
      </c>
      <c r="V433" s="306">
        <f t="shared" ca="1" si="177"/>
        <v>1.1191954008851828</v>
      </c>
      <c r="W433" s="304">
        <f t="shared" ca="1" si="178"/>
        <v>25.863266212105284</v>
      </c>
      <c r="Y433" s="314" t="str">
        <f t="shared" ca="1" si="196"/>
        <v/>
      </c>
      <c r="Z433" s="315" t="str">
        <f t="shared" ca="1" si="197"/>
        <v/>
      </c>
      <c r="AA433" s="316" t="str">
        <f t="shared" ca="1" si="198"/>
        <v/>
      </c>
      <c r="AC433" s="310" t="e">
        <f t="shared" ca="1" si="199"/>
        <v>#N/A</v>
      </c>
      <c r="AD433" s="323" t="e">
        <f t="shared" ca="1" si="200"/>
        <v>#N/A</v>
      </c>
      <c r="AE433" s="324" t="e">
        <f t="shared" ca="1" si="179"/>
        <v>#N/A</v>
      </c>
      <c r="AG433" s="306">
        <f t="shared" ca="1" si="201"/>
        <v>6.3697381091234879</v>
      </c>
      <c r="AH433" s="304">
        <f t="shared" ca="1" si="202"/>
        <v>-3.1904151049961706</v>
      </c>
    </row>
    <row r="434" spans="1:34" x14ac:dyDescent="0.2">
      <c r="A434" s="347">
        <f t="shared" ca="1" si="180"/>
        <v>0.1</v>
      </c>
      <c r="B434" s="304">
        <f t="shared" ca="1" si="181"/>
        <v>25.000000000000089</v>
      </c>
      <c r="D434" s="306">
        <f t="shared" ca="1" si="182"/>
        <v>-0.71876037625634093</v>
      </c>
      <c r="E434" s="307">
        <f t="shared" ca="1" si="183"/>
        <v>-6.6484439173250633</v>
      </c>
      <c r="F434" s="304">
        <f t="shared" ca="1" si="184"/>
        <v>6.6871834878589054</v>
      </c>
      <c r="G434" s="306">
        <f t="shared" ca="1" si="185"/>
        <v>18.470366592766709</v>
      </c>
      <c r="H434" s="307">
        <f t="shared" ca="1" si="186"/>
        <v>-82.225183429737797</v>
      </c>
      <c r="I434" s="304">
        <f t="shared" ca="1" si="187"/>
        <v>84.274167050913178</v>
      </c>
      <c r="J434" s="306">
        <f t="shared" ca="1" si="188"/>
        <v>625.11543108957676</v>
      </c>
      <c r="K434" s="307">
        <f t="shared" ca="1" si="189"/>
        <v>894.50509035190578</v>
      </c>
      <c r="L434" s="304">
        <f t="shared" ca="1" si="174"/>
        <v>1091.2876150913555</v>
      </c>
      <c r="M434" s="306">
        <f t="shared" ca="1" si="190"/>
        <v>-1.3498326522328432</v>
      </c>
      <c r="N434" s="304">
        <f t="shared" ca="1" si="191"/>
        <v>-77.339714021892121</v>
      </c>
      <c r="P434" s="310">
        <f t="shared" ca="1" si="192"/>
        <v>23</v>
      </c>
      <c r="Q434" s="304">
        <f t="shared" ca="1" si="193"/>
        <v>0</v>
      </c>
      <c r="R434" s="306">
        <f t="shared" ca="1" si="194"/>
        <v>0</v>
      </c>
      <c r="S434" s="307">
        <f t="shared" ca="1" si="195"/>
        <v>7.9769999999999968</v>
      </c>
      <c r="T434" s="304">
        <f t="shared" ca="1" si="175"/>
        <v>78.254369999999966</v>
      </c>
      <c r="U434" s="311">
        <f t="shared" ca="1" si="176"/>
        <v>0</v>
      </c>
      <c r="V434" s="306">
        <f t="shared" ca="1" si="177"/>
        <v>1.1201141717937071</v>
      </c>
      <c r="W434" s="304">
        <f t="shared" ca="1" si="178"/>
        <v>26.277549455019521</v>
      </c>
      <c r="Y434" s="314" t="str">
        <f t="shared" ca="1" si="196"/>
        <v/>
      </c>
      <c r="Z434" s="315" t="str">
        <f t="shared" ca="1" si="197"/>
        <v/>
      </c>
      <c r="AA434" s="316" t="str">
        <f t="shared" ca="1" si="198"/>
        <v/>
      </c>
      <c r="AC434" s="310">
        <f t="shared" ca="1" si="199"/>
        <v>25.000000000000089</v>
      </c>
      <c r="AD434" s="323">
        <f t="shared" ca="1" si="200"/>
        <v>625.11543108957676</v>
      </c>
      <c r="AE434" s="324" t="e">
        <f t="shared" ca="1" si="179"/>
        <v>#N/A</v>
      </c>
      <c r="AG434" s="306">
        <f t="shared" ca="1" si="201"/>
        <v>6.3236765463412103</v>
      </c>
      <c r="AH434" s="304">
        <f t="shared" ca="1" si="202"/>
        <v>-3.2422296868628928</v>
      </c>
    </row>
    <row r="435" spans="1:34" x14ac:dyDescent="0.2">
      <c r="A435" s="347">
        <f t="shared" ca="1" si="180"/>
        <v>0.1</v>
      </c>
      <c r="B435" s="304">
        <f t="shared" ca="1" si="181"/>
        <v>25.10000000000009</v>
      </c>
      <c r="D435" s="306">
        <f t="shared" ca="1" si="182"/>
        <v>-0.72198191092114372</v>
      </c>
      <c r="E435" s="307">
        <f t="shared" ca="1" si="183"/>
        <v>-6.595927623023357</v>
      </c>
      <c r="F435" s="304">
        <f t="shared" ca="1" si="184"/>
        <v>6.6353235857688126</v>
      </c>
      <c r="G435" s="306">
        <f t="shared" ca="1" si="185"/>
        <v>18.398168401674596</v>
      </c>
      <c r="H435" s="307">
        <f t="shared" ca="1" si="186"/>
        <v>-82.884776192040135</v>
      </c>
      <c r="I435" s="304">
        <f t="shared" ca="1" si="187"/>
        <v>84.902171497205899</v>
      </c>
      <c r="J435" s="306">
        <f t="shared" ca="1" si="188"/>
        <v>626.95885783929884</v>
      </c>
      <c r="K435" s="307">
        <f t="shared" ca="1" si="189"/>
        <v>886.24959237081691</v>
      </c>
      <c r="L435" s="304">
        <f t="shared" ca="1" si="174"/>
        <v>1085.5946524373621</v>
      </c>
      <c r="M435" s="306">
        <f t="shared" ca="1" si="190"/>
        <v>-1.3523650488223784</v>
      </c>
      <c r="N435" s="304">
        <f t="shared" ca="1" si="191"/>
        <v>-77.484809658525805</v>
      </c>
      <c r="P435" s="310">
        <f t="shared" ca="1" si="192"/>
        <v>23</v>
      </c>
      <c r="Q435" s="304">
        <f t="shared" ca="1" si="193"/>
        <v>0</v>
      </c>
      <c r="R435" s="306">
        <f t="shared" ca="1" si="194"/>
        <v>0</v>
      </c>
      <c r="S435" s="307">
        <f t="shared" ca="1" si="195"/>
        <v>7.9769999999999968</v>
      </c>
      <c r="T435" s="304">
        <f t="shared" ca="1" si="175"/>
        <v>78.254369999999966</v>
      </c>
      <c r="U435" s="311">
        <f t="shared" ca="1" si="176"/>
        <v>0</v>
      </c>
      <c r="V435" s="306">
        <f t="shared" ca="1" si="177"/>
        <v>1.1210411015052879</v>
      </c>
      <c r="W435" s="304">
        <f t="shared" ca="1" si="178"/>
        <v>26.692715926934934</v>
      </c>
      <c r="Y435" s="314" t="str">
        <f t="shared" ca="1" si="196"/>
        <v/>
      </c>
      <c r="Z435" s="315" t="str">
        <f t="shared" ca="1" si="197"/>
        <v/>
      </c>
      <c r="AA435" s="316" t="str">
        <f t="shared" ca="1" si="198"/>
        <v/>
      </c>
      <c r="AC435" s="310" t="e">
        <f t="shared" ca="1" si="199"/>
        <v>#N/A</v>
      </c>
      <c r="AD435" s="323" t="e">
        <f t="shared" ca="1" si="200"/>
        <v>#N/A</v>
      </c>
      <c r="AE435" s="324" t="e">
        <f t="shared" ca="1" si="179"/>
        <v>#N/A</v>
      </c>
      <c r="AG435" s="306">
        <f t="shared" ca="1" si="201"/>
        <v>6.2773220624620549</v>
      </c>
      <c r="AH435" s="304">
        <f t="shared" ca="1" si="202"/>
        <v>-3.2941644045404952</v>
      </c>
    </row>
    <row r="436" spans="1:34" x14ac:dyDescent="0.2">
      <c r="A436" s="347">
        <f t="shared" ca="1" si="180"/>
        <v>0.1</v>
      </c>
      <c r="B436" s="304">
        <f t="shared" ca="1" si="181"/>
        <v>25.200000000000092</v>
      </c>
      <c r="D436" s="306">
        <f t="shared" ca="1" si="182"/>
        <v>-0.7251184644009484</v>
      </c>
      <c r="E436" s="307">
        <f t="shared" ca="1" si="183"/>
        <v>-6.5433008198186737</v>
      </c>
      <c r="F436" s="304">
        <f t="shared" ca="1" si="184"/>
        <v>6.5833564696175246</v>
      </c>
      <c r="G436" s="306">
        <f t="shared" ca="1" si="185"/>
        <v>18.325656555234502</v>
      </c>
      <c r="H436" s="307">
        <f t="shared" ca="1" si="186"/>
        <v>-83.539106274022004</v>
      </c>
      <c r="I436" s="304">
        <f t="shared" ca="1" si="187"/>
        <v>85.525504764618319</v>
      </c>
      <c r="J436" s="306">
        <f t="shared" ca="1" si="188"/>
        <v>628.79504908714432</v>
      </c>
      <c r="K436" s="307">
        <f t="shared" ca="1" si="189"/>
        <v>877.92839824751377</v>
      </c>
      <c r="L436" s="304">
        <f t="shared" ca="1" si="174"/>
        <v>1079.8803110557899</v>
      </c>
      <c r="M436" s="306">
        <f t="shared" ca="1" si="190"/>
        <v>-1.3548506394355977</v>
      </c>
      <c r="N436" s="304">
        <f t="shared" ca="1" si="191"/>
        <v>-77.627223510260606</v>
      </c>
      <c r="P436" s="310">
        <f t="shared" ca="1" si="192"/>
        <v>23</v>
      </c>
      <c r="Q436" s="304">
        <f t="shared" ca="1" si="193"/>
        <v>0</v>
      </c>
      <c r="R436" s="306">
        <f t="shared" ca="1" si="194"/>
        <v>0</v>
      </c>
      <c r="S436" s="307">
        <f t="shared" ca="1" si="195"/>
        <v>7.9769999999999968</v>
      </c>
      <c r="T436" s="304">
        <f t="shared" ca="1" si="175"/>
        <v>78.254369999999966</v>
      </c>
      <c r="U436" s="311">
        <f t="shared" ca="1" si="176"/>
        <v>0</v>
      </c>
      <c r="V436" s="306">
        <f t="shared" ca="1" si="177"/>
        <v>1.1219761494206986</v>
      </c>
      <c r="W436" s="304">
        <f t="shared" ca="1" si="178"/>
        <v>27.108691148791557</v>
      </c>
      <c r="Y436" s="314" t="str">
        <f t="shared" ca="1" si="196"/>
        <v/>
      </c>
      <c r="Z436" s="315" t="str">
        <f t="shared" ca="1" si="197"/>
        <v/>
      </c>
      <c r="AA436" s="316" t="str">
        <f t="shared" ca="1" si="198"/>
        <v/>
      </c>
      <c r="AC436" s="310" t="e">
        <f t="shared" ca="1" si="199"/>
        <v>#N/A</v>
      </c>
      <c r="AD436" s="323" t="e">
        <f t="shared" ca="1" si="200"/>
        <v>#N/A</v>
      </c>
      <c r="AE436" s="324" t="e">
        <f t="shared" ca="1" si="179"/>
        <v>#N/A</v>
      </c>
      <c r="AG436" s="306">
        <f t="shared" ca="1" si="201"/>
        <v>6.2306907239240665</v>
      </c>
      <c r="AH436" s="304">
        <f t="shared" ca="1" si="202"/>
        <v>-3.3462098441688535</v>
      </c>
    </row>
    <row r="437" spans="1:34" x14ac:dyDescent="0.2">
      <c r="A437" s="347">
        <f t="shared" ca="1" si="180"/>
        <v>0.1</v>
      </c>
      <c r="B437" s="304">
        <f t="shared" ca="1" si="181"/>
        <v>25.300000000000093</v>
      </c>
      <c r="D437" s="306">
        <f t="shared" ca="1" si="182"/>
        <v>-0.72817012118306512</v>
      </c>
      <c r="E437" s="307">
        <f t="shared" ca="1" si="183"/>
        <v>-6.4905728921235282</v>
      </c>
      <c r="F437" s="304">
        <f t="shared" ca="1" si="184"/>
        <v>6.531291464431253</v>
      </c>
      <c r="G437" s="306">
        <f t="shared" ca="1" si="185"/>
        <v>18.252839543116195</v>
      </c>
      <c r="H437" s="307">
        <f t="shared" ca="1" si="186"/>
        <v>-84.188163563234355</v>
      </c>
      <c r="I437" s="304">
        <f t="shared" ca="1" si="187"/>
        <v>86.144141040100038</v>
      </c>
      <c r="J437" s="306">
        <f t="shared" ca="1" si="188"/>
        <v>630.62397389206183</v>
      </c>
      <c r="K437" s="307">
        <f t="shared" ca="1" si="189"/>
        <v>869.542034755651</v>
      </c>
      <c r="L437" s="304">
        <f t="shared" ca="1" si="174"/>
        <v>1074.1461477166008</v>
      </c>
      <c r="M437" s="306">
        <f t="shared" ca="1" si="190"/>
        <v>-1.3572907392421487</v>
      </c>
      <c r="N437" s="304">
        <f t="shared" ca="1" si="191"/>
        <v>-77.767030930766666</v>
      </c>
      <c r="P437" s="310">
        <f t="shared" ca="1" si="192"/>
        <v>23</v>
      </c>
      <c r="Q437" s="304">
        <f t="shared" ca="1" si="193"/>
        <v>0</v>
      </c>
      <c r="R437" s="306">
        <f t="shared" ca="1" si="194"/>
        <v>0</v>
      </c>
      <c r="S437" s="307">
        <f t="shared" ca="1" si="195"/>
        <v>7.9769999999999968</v>
      </c>
      <c r="T437" s="304">
        <f t="shared" ca="1" si="175"/>
        <v>78.254369999999966</v>
      </c>
      <c r="U437" s="311">
        <f t="shared" ca="1" si="176"/>
        <v>0</v>
      </c>
      <c r="V437" s="306">
        <f t="shared" ca="1" si="177"/>
        <v>1.1229192748166941</v>
      </c>
      <c r="W437" s="304">
        <f t="shared" ca="1" si="178"/>
        <v>27.525401276880608</v>
      </c>
      <c r="Y437" s="314" t="str">
        <f t="shared" ca="1" si="196"/>
        <v/>
      </c>
      <c r="Z437" s="315" t="str">
        <f t="shared" ca="1" si="197"/>
        <v/>
      </c>
      <c r="AA437" s="316" t="str">
        <f t="shared" ca="1" si="198"/>
        <v/>
      </c>
      <c r="AC437" s="310" t="e">
        <f t="shared" ca="1" si="199"/>
        <v>#N/A</v>
      </c>
      <c r="AD437" s="323" t="e">
        <f t="shared" ca="1" si="200"/>
        <v>#N/A</v>
      </c>
      <c r="AE437" s="324" t="e">
        <f t="shared" ca="1" si="179"/>
        <v>#N/A</v>
      </c>
      <c r="AG437" s="306">
        <f t="shared" ca="1" si="201"/>
        <v>6.1837982075097013</v>
      </c>
      <c r="AH437" s="304">
        <f t="shared" ca="1" si="202"/>
        <v>-3.3983566690223852</v>
      </c>
    </row>
    <row r="438" spans="1:34" x14ac:dyDescent="0.2">
      <c r="A438" s="347">
        <f t="shared" ca="1" si="180"/>
        <v>0.1</v>
      </c>
      <c r="B438" s="304">
        <f t="shared" ca="1" si="181"/>
        <v>25.400000000000095</v>
      </c>
      <c r="D438" s="306">
        <f t="shared" ca="1" si="182"/>
        <v>-0.73113699267897547</v>
      </c>
      <c r="E438" s="307">
        <f t="shared" ca="1" si="183"/>
        <v>-6.4377531459480375</v>
      </c>
      <c r="F438" s="304">
        <f t="shared" ca="1" si="184"/>
        <v>6.4791378184313624</v>
      </c>
      <c r="G438" s="306">
        <f t="shared" ca="1" si="185"/>
        <v>18.179725843848299</v>
      </c>
      <c r="H438" s="307">
        <f t="shared" ca="1" si="186"/>
        <v>-84.83193887782916</v>
      </c>
      <c r="I438" s="304">
        <f t="shared" ca="1" si="187"/>
        <v>86.758056026683931</v>
      </c>
      <c r="J438" s="306">
        <f t="shared" ca="1" si="188"/>
        <v>632.44560216141008</v>
      </c>
      <c r="K438" s="307">
        <f t="shared" ca="1" si="189"/>
        <v>861.09102963359783</v>
      </c>
      <c r="L438" s="304">
        <f t="shared" ca="1" si="174"/>
        <v>1068.3937481138489</v>
      </c>
      <c r="M438" s="306">
        <f t="shared" ca="1" si="190"/>
        <v>-1.3596866150466185</v>
      </c>
      <c r="N438" s="304">
        <f t="shared" ca="1" si="191"/>
        <v>-77.904304502600297</v>
      </c>
      <c r="P438" s="310">
        <f t="shared" ca="1" si="192"/>
        <v>23</v>
      </c>
      <c r="Q438" s="304">
        <f t="shared" ca="1" si="193"/>
        <v>0</v>
      </c>
      <c r="R438" s="306">
        <f t="shared" ca="1" si="194"/>
        <v>0</v>
      </c>
      <c r="S438" s="307">
        <f t="shared" ca="1" si="195"/>
        <v>7.9769999999999968</v>
      </c>
      <c r="T438" s="304">
        <f t="shared" ca="1" si="175"/>
        <v>78.254369999999966</v>
      </c>
      <c r="U438" s="311">
        <f t="shared" ca="1" si="176"/>
        <v>0</v>
      </c>
      <c r="V438" s="306">
        <f t="shared" ca="1" si="177"/>
        <v>1.1238704368527286</v>
      </c>
      <c r="W438" s="304">
        <f t="shared" ca="1" si="178"/>
        <v>27.942773122274129</v>
      </c>
      <c r="Y438" s="314" t="str">
        <f t="shared" ca="1" si="196"/>
        <v/>
      </c>
      <c r="Z438" s="315" t="str">
        <f t="shared" ca="1" si="197"/>
        <v/>
      </c>
      <c r="AA438" s="316" t="str">
        <f t="shared" ca="1" si="198"/>
        <v/>
      </c>
      <c r="AC438" s="310" t="e">
        <f t="shared" ca="1" si="199"/>
        <v>#N/A</v>
      </c>
      <c r="AD438" s="323" t="e">
        <f t="shared" ca="1" si="200"/>
        <v>#N/A</v>
      </c>
      <c r="AE438" s="324" t="e">
        <f t="shared" ca="1" si="179"/>
        <v>#N/A</v>
      </c>
      <c r="AG438" s="306">
        <f t="shared" ca="1" si="201"/>
        <v>6.1366598150106775</v>
      </c>
      <c r="AH438" s="304">
        <f t="shared" ca="1" si="202"/>
        <v>-3.4505956220233944</v>
      </c>
    </row>
    <row r="439" spans="1:34" x14ac:dyDescent="0.2">
      <c r="A439" s="347">
        <f t="shared" ca="1" si="180"/>
        <v>0.1</v>
      </c>
      <c r="B439" s="304">
        <f t="shared" ca="1" si="181"/>
        <v>25.500000000000096</v>
      </c>
      <c r="D439" s="306">
        <f t="shared" ca="1" si="182"/>
        <v>-0.73401921657046199</v>
      </c>
      <c r="E439" s="307">
        <f t="shared" ca="1" si="183"/>
        <v>-6.3848508063267664</v>
      </c>
      <c r="F439" s="304">
        <f t="shared" ca="1" si="184"/>
        <v>6.4269047005029005</v>
      </c>
      <c r="G439" s="306">
        <f t="shared" ca="1" si="185"/>
        <v>18.106323922191255</v>
      </c>
      <c r="H439" s="307">
        <f t="shared" ca="1" si="186"/>
        <v>-85.470423958461836</v>
      </c>
      <c r="I439" s="304">
        <f t="shared" ca="1" si="187"/>
        <v>87.367226908117686</v>
      </c>
      <c r="J439" s="306">
        <f t="shared" ca="1" si="188"/>
        <v>634.2599046497121</v>
      </c>
      <c r="K439" s="307">
        <f t="shared" ca="1" si="189"/>
        <v>852.57591149178324</v>
      </c>
      <c r="L439" s="304">
        <f t="shared" ca="1" si="174"/>
        <v>1062.6247275036974</v>
      </c>
      <c r="M439" s="306">
        <f t="shared" ca="1" si="190"/>
        <v>-1.3620394874409589</v>
      </c>
      <c r="N439" s="304">
        <f t="shared" ca="1" si="191"/>
        <v>-78.03911416052884</v>
      </c>
      <c r="P439" s="310">
        <f t="shared" ca="1" si="192"/>
        <v>23</v>
      </c>
      <c r="Q439" s="304">
        <f t="shared" ca="1" si="193"/>
        <v>0</v>
      </c>
      <c r="R439" s="306">
        <f t="shared" ca="1" si="194"/>
        <v>0</v>
      </c>
      <c r="S439" s="307">
        <f t="shared" ca="1" si="195"/>
        <v>7.9769999999999968</v>
      </c>
      <c r="T439" s="304">
        <f t="shared" ca="1" si="175"/>
        <v>78.254369999999966</v>
      </c>
      <c r="U439" s="311">
        <f t="shared" ca="1" si="176"/>
        <v>0</v>
      </c>
      <c r="V439" s="306">
        <f t="shared" ca="1" si="177"/>
        <v>1.1248295945776305</v>
      </c>
      <c r="W439" s="304">
        <f t="shared" ca="1" si="178"/>
        <v>28.360734169632359</v>
      </c>
      <c r="Y439" s="314" t="str">
        <f t="shared" ca="1" si="196"/>
        <v/>
      </c>
      <c r="Z439" s="315" t="str">
        <f t="shared" ca="1" si="197"/>
        <v/>
      </c>
      <c r="AA439" s="316" t="str">
        <f t="shared" ca="1" si="198"/>
        <v/>
      </c>
      <c r="AC439" s="310" t="e">
        <f t="shared" ca="1" si="199"/>
        <v>#N/A</v>
      </c>
      <c r="AD439" s="323" t="e">
        <f t="shared" ca="1" si="200"/>
        <v>#N/A</v>
      </c>
      <c r="AE439" s="324" t="e">
        <f t="shared" ca="1" si="179"/>
        <v>#N/A</v>
      </c>
      <c r="AG439" s="306">
        <f t="shared" ca="1" si="201"/>
        <v>6.0892904868974576</v>
      </c>
      <c r="AH439" s="304">
        <f t="shared" ca="1" si="202"/>
        <v>-3.5029175281777789</v>
      </c>
    </row>
    <row r="440" spans="1:34" x14ac:dyDescent="0.2">
      <c r="A440" s="347">
        <f t="shared" ca="1" si="180"/>
        <v>0.1</v>
      </c>
      <c r="B440" s="304">
        <f t="shared" ca="1" si="181"/>
        <v>25.600000000000097</v>
      </c>
      <c r="D440" s="306">
        <f t="shared" ca="1" si="182"/>
        <v>-0.73681695616639087</v>
      </c>
      <c r="E440" s="307">
        <f t="shared" ca="1" si="183"/>
        <v>-6.3318750148316472</v>
      </c>
      <c r="F440" s="304">
        <f t="shared" ca="1" si="184"/>
        <v>6.3746011977490467</v>
      </c>
      <c r="G440" s="306">
        <f t="shared" ca="1" si="185"/>
        <v>18.032642226574616</v>
      </c>
      <c r="H440" s="307">
        <f t="shared" ca="1" si="186"/>
        <v>-86.103611459945</v>
      </c>
      <c r="I440" s="304">
        <f t="shared" ca="1" si="187"/>
        <v>87.971632314722982</v>
      </c>
      <c r="J440" s="306">
        <f t="shared" ca="1" si="188"/>
        <v>636.06685295715045</v>
      </c>
      <c r="K440" s="307">
        <f t="shared" ca="1" si="189"/>
        <v>843.99720972086288</v>
      </c>
      <c r="L440" s="304">
        <f t="shared" ca="1" si="174"/>
        <v>1056.8407313533178</v>
      </c>
      <c r="M440" s="306">
        <f t="shared" ca="1" si="190"/>
        <v>-1.3643505328456775</v>
      </c>
      <c r="N440" s="304">
        <f t="shared" ca="1" si="191"/>
        <v>-78.171527308482325</v>
      </c>
      <c r="P440" s="310">
        <f t="shared" ca="1" si="192"/>
        <v>23</v>
      </c>
      <c r="Q440" s="304">
        <f t="shared" ca="1" si="193"/>
        <v>0</v>
      </c>
      <c r="R440" s="306">
        <f t="shared" ca="1" si="194"/>
        <v>0</v>
      </c>
      <c r="S440" s="307">
        <f t="shared" ca="1" si="195"/>
        <v>7.9769999999999968</v>
      </c>
      <c r="T440" s="304">
        <f t="shared" ca="1" si="175"/>
        <v>78.254369999999966</v>
      </c>
      <c r="U440" s="311">
        <f t="shared" ca="1" si="176"/>
        <v>0</v>
      </c>
      <c r="V440" s="306">
        <f t="shared" ca="1" si="177"/>
        <v>1.1257967069362411</v>
      </c>
      <c r="W440" s="304">
        <f t="shared" ca="1" si="178"/>
        <v>28.779212595386255</v>
      </c>
      <c r="Y440" s="314" t="str">
        <f t="shared" ca="1" si="196"/>
        <v/>
      </c>
      <c r="Z440" s="315" t="str">
        <f t="shared" ca="1" si="197"/>
        <v/>
      </c>
      <c r="AA440" s="316" t="str">
        <f t="shared" ca="1" si="198"/>
        <v/>
      </c>
      <c r="AC440" s="310" t="e">
        <f t="shared" ca="1" si="199"/>
        <v>#N/A</v>
      </c>
      <c r="AD440" s="323" t="e">
        <f t="shared" ca="1" si="200"/>
        <v>#N/A</v>
      </c>
      <c r="AE440" s="324" t="e">
        <f t="shared" ca="1" si="179"/>
        <v>#N/A</v>
      </c>
      <c r="AG440" s="306">
        <f t="shared" ca="1" si="201"/>
        <v>6.0417048150683197</v>
      </c>
      <c r="AH440" s="304">
        <f t="shared" ca="1" si="202"/>
        <v>-3.5553132969327277</v>
      </c>
    </row>
    <row r="441" spans="1:34" x14ac:dyDescent="0.2">
      <c r="A441" s="347">
        <f t="shared" ca="1" si="180"/>
        <v>0.1</v>
      </c>
      <c r="B441" s="304">
        <f t="shared" ca="1" si="181"/>
        <v>25.700000000000099</v>
      </c>
      <c r="D441" s="306">
        <f t="shared" ca="1" si="182"/>
        <v>-0.73953039976949164</v>
      </c>
      <c r="E441" s="307">
        <f t="shared" ca="1" si="183"/>
        <v>-6.2788348271707672</v>
      </c>
      <c r="F441" s="304">
        <f t="shared" ca="1" si="184"/>
        <v>6.3222363131312784</v>
      </c>
      <c r="G441" s="306">
        <f t="shared" ca="1" si="185"/>
        <v>17.958689186597667</v>
      </c>
      <c r="H441" s="307">
        <f t="shared" ca="1" si="186"/>
        <v>-86.731494942662081</v>
      </c>
      <c r="I441" s="304">
        <f t="shared" ca="1" si="187"/>
        <v>88.571252290400849</v>
      </c>
      <c r="J441" s="306">
        <f t="shared" ca="1" si="188"/>
        <v>637.86641952780906</v>
      </c>
      <c r="K441" s="307">
        <f t="shared" ca="1" si="189"/>
        <v>835.35545440073258</v>
      </c>
      <c r="L441" s="304">
        <f t="shared" ca="1" si="174"/>
        <v>1051.0434359998076</v>
      </c>
      <c r="M441" s="306">
        <f t="shared" ca="1" si="190"/>
        <v>-1.3666208854462694</v>
      </c>
      <c r="N441" s="304">
        <f t="shared" ca="1" si="191"/>
        <v>-78.30160893050278</v>
      </c>
      <c r="P441" s="310">
        <f t="shared" ca="1" si="192"/>
        <v>23</v>
      </c>
      <c r="Q441" s="304">
        <f t="shared" ca="1" si="193"/>
        <v>0</v>
      </c>
      <c r="R441" s="306">
        <f t="shared" ca="1" si="194"/>
        <v>0</v>
      </c>
      <c r="S441" s="307">
        <f t="shared" ca="1" si="195"/>
        <v>7.9769999999999968</v>
      </c>
      <c r="T441" s="304">
        <f t="shared" ca="1" si="175"/>
        <v>78.254369999999966</v>
      </c>
      <c r="U441" s="311">
        <f t="shared" ca="1" si="176"/>
        <v>0</v>
      </c>
      <c r="V441" s="306">
        <f t="shared" ca="1" si="177"/>
        <v>1.1267717327760054</v>
      </c>
      <c r="W441" s="304">
        <f t="shared" ca="1" si="178"/>
        <v>29.198137285293459</v>
      </c>
      <c r="Y441" s="314" t="str">
        <f t="shared" ca="1" si="196"/>
        <v/>
      </c>
      <c r="Z441" s="315" t="str">
        <f t="shared" ca="1" si="197"/>
        <v/>
      </c>
      <c r="AA441" s="316" t="str">
        <f t="shared" ca="1" si="198"/>
        <v/>
      </c>
      <c r="AC441" s="310" t="e">
        <f t="shared" ca="1" si="199"/>
        <v>#N/A</v>
      </c>
      <c r="AD441" s="323" t="e">
        <f t="shared" ca="1" si="200"/>
        <v>#N/A</v>
      </c>
      <c r="AE441" s="324" t="e">
        <f t="shared" ca="1" si="179"/>
        <v>#N/A</v>
      </c>
      <c r="AG441" s="306">
        <f t="shared" ca="1" si="201"/>
        <v>5.9939170547471514</v>
      </c>
      <c r="AH441" s="304">
        <f t="shared" ca="1" si="202"/>
        <v>-3.6077739244560947</v>
      </c>
    </row>
    <row r="442" spans="1:34" x14ac:dyDescent="0.2">
      <c r="A442" s="347">
        <f t="shared" ca="1" si="180"/>
        <v>0.1</v>
      </c>
      <c r="B442" s="304">
        <f t="shared" ca="1" si="181"/>
        <v>25.8000000000001</v>
      </c>
      <c r="D442" s="306">
        <f t="shared" ca="1" si="182"/>
        <v>-0.74215976005255258</v>
      </c>
      <c r="E442" s="307">
        <f t="shared" ca="1" si="183"/>
        <v>-6.2257392108727654</v>
      </c>
      <c r="F442" s="304">
        <f t="shared" ca="1" si="184"/>
        <v>6.2698189631950223</v>
      </c>
      <c r="G442" s="306">
        <f t="shared" ca="1" si="185"/>
        <v>17.884473210592411</v>
      </c>
      <c r="H442" s="307">
        <f t="shared" ca="1" si="186"/>
        <v>-87.354068863749362</v>
      </c>
      <c r="I442" s="304">
        <f t="shared" ca="1" si="187"/>
        <v>89.166068260707021</v>
      </c>
      <c r="J442" s="306">
        <f t="shared" ca="1" si="188"/>
        <v>639.65857764766861</v>
      </c>
      <c r="K442" s="307">
        <f t="shared" ca="1" si="189"/>
        <v>826.65117621041202</v>
      </c>
      <c r="L442" s="304">
        <f t="shared" ca="1" si="174"/>
        <v>1045.2345493181404</v>
      </c>
      <c r="M442" s="306">
        <f t="shared" ca="1" si="190"/>
        <v>-1.3688516390309449</v>
      </c>
      <c r="N442" s="304">
        <f t="shared" ca="1" si="191"/>
        <v>-78.429421696038375</v>
      </c>
      <c r="P442" s="310">
        <f t="shared" ca="1" si="192"/>
        <v>23</v>
      </c>
      <c r="Q442" s="304">
        <f t="shared" ca="1" si="193"/>
        <v>0</v>
      </c>
      <c r="R442" s="306">
        <f t="shared" ca="1" si="194"/>
        <v>0</v>
      </c>
      <c r="S442" s="307">
        <f t="shared" ca="1" si="195"/>
        <v>7.9769999999999968</v>
      </c>
      <c r="T442" s="304">
        <f t="shared" ca="1" si="175"/>
        <v>78.254369999999966</v>
      </c>
      <c r="U442" s="311">
        <f t="shared" ca="1" si="176"/>
        <v>0</v>
      </c>
      <c r="V442" s="306">
        <f t="shared" ca="1" si="177"/>
        <v>1.1277546308535222</v>
      </c>
      <c r="W442" s="304">
        <f t="shared" ca="1" si="178"/>
        <v>29.617437851366297</v>
      </c>
      <c r="Y442" s="314" t="str">
        <f t="shared" ca="1" si="196"/>
        <v/>
      </c>
      <c r="Z442" s="315" t="str">
        <f t="shared" ca="1" si="197"/>
        <v/>
      </c>
      <c r="AA442" s="316" t="str">
        <f t="shared" ca="1" si="198"/>
        <v/>
      </c>
      <c r="AC442" s="310" t="e">
        <f t="shared" ca="1" si="199"/>
        <v>#N/A</v>
      </c>
      <c r="AD442" s="323" t="e">
        <f t="shared" ca="1" si="200"/>
        <v>#N/A</v>
      </c>
      <c r="AE442" s="324" t="e">
        <f t="shared" ca="1" si="179"/>
        <v>#N/A</v>
      </c>
      <c r="AG442" s="306">
        <f t="shared" ca="1" si="201"/>
        <v>5.9459411355939071</v>
      </c>
      <c r="AH442" s="304">
        <f t="shared" ca="1" si="202"/>
        <v>-3.660290495837216</v>
      </c>
    </row>
    <row r="443" spans="1:34" x14ac:dyDescent="0.2">
      <c r="A443" s="347">
        <f t="shared" ca="1" si="180"/>
        <v>0.1</v>
      </c>
      <c r="B443" s="304">
        <f t="shared" ca="1" si="181"/>
        <v>25.900000000000102</v>
      </c>
      <c r="D443" s="306">
        <f t="shared" ca="1" si="182"/>
        <v>-0.74470527344354309</v>
      </c>
      <c r="E443" s="307">
        <f t="shared" ca="1" si="183"/>
        <v>-6.1725970430565589</v>
      </c>
      <c r="F443" s="304">
        <f t="shared" ca="1" si="184"/>
        <v>6.2173579758805264</v>
      </c>
      <c r="G443" s="306">
        <f t="shared" ca="1" si="185"/>
        <v>17.810002683248058</v>
      </c>
      <c r="H443" s="307">
        <f t="shared" ca="1" si="186"/>
        <v>-87.971328568055014</v>
      </c>
      <c r="I443" s="304">
        <f t="shared" ca="1" si="187"/>
        <v>89.7560630019276</v>
      </c>
      <c r="J443" s="306">
        <f t="shared" ca="1" si="188"/>
        <v>641.44330144236062</v>
      </c>
      <c r="K443" s="307">
        <f t="shared" ca="1" si="189"/>
        <v>817.88490633882179</v>
      </c>
      <c r="L443" s="304">
        <f t="shared" ca="1" si="174"/>
        <v>1039.4158113970263</v>
      </c>
      <c r="M443" s="306">
        <f t="shared" ca="1" si="190"/>
        <v>-1.3710438487353371</v>
      </c>
      <c r="N443" s="304">
        <f t="shared" ca="1" si="191"/>
        <v>-78.555026059907675</v>
      </c>
      <c r="P443" s="310">
        <f t="shared" ca="1" si="192"/>
        <v>23</v>
      </c>
      <c r="Q443" s="304">
        <f t="shared" ca="1" si="193"/>
        <v>0</v>
      </c>
      <c r="R443" s="306">
        <f t="shared" ca="1" si="194"/>
        <v>0</v>
      </c>
      <c r="S443" s="307">
        <f t="shared" ca="1" si="195"/>
        <v>7.9769999999999968</v>
      </c>
      <c r="T443" s="304">
        <f t="shared" ca="1" si="175"/>
        <v>78.254369999999966</v>
      </c>
      <c r="U443" s="311">
        <f t="shared" ca="1" si="176"/>
        <v>0</v>
      </c>
      <c r="V443" s="306">
        <f t="shared" ca="1" si="177"/>
        <v>1.1287453598410484</v>
      </c>
      <c r="W443" s="304">
        <f t="shared" ca="1" si="178"/>
        <v>30.037044648171303</v>
      </c>
      <c r="Y443" s="314" t="str">
        <f t="shared" ca="1" si="196"/>
        <v/>
      </c>
      <c r="Z443" s="315" t="str">
        <f t="shared" ca="1" si="197"/>
        <v/>
      </c>
      <c r="AA443" s="316" t="str">
        <f t="shared" ca="1" si="198"/>
        <v/>
      </c>
      <c r="AC443" s="310" t="e">
        <f t="shared" ca="1" si="199"/>
        <v>#N/A</v>
      </c>
      <c r="AD443" s="323" t="e">
        <f t="shared" ca="1" si="200"/>
        <v>#N/A</v>
      </c>
      <c r="AE443" s="324" t="e">
        <f t="shared" ca="1" si="179"/>
        <v>#N/A</v>
      </c>
      <c r="AG443" s="306">
        <f t="shared" ca="1" si="201"/>
        <v>5.8977906720867743</v>
      </c>
      <c r="AH443" s="304">
        <f t="shared" ca="1" si="202"/>
        <v>-3.7128541872090146</v>
      </c>
    </row>
    <row r="444" spans="1:34" x14ac:dyDescent="0.2">
      <c r="A444" s="347">
        <f t="shared" ca="1" si="180"/>
        <v>0.1</v>
      </c>
      <c r="B444" s="304">
        <f t="shared" ca="1" si="181"/>
        <v>26.000000000000103</v>
      </c>
      <c r="D444" s="306">
        <f t="shared" ca="1" si="182"/>
        <v>-0.74716719951917132</v>
      </c>
      <c r="E444" s="307">
        <f t="shared" ca="1" si="183"/>
        <v>-6.1194171082860676</v>
      </c>
      <c r="F444" s="304">
        <f t="shared" ca="1" si="184"/>
        <v>6.1648620884186487</v>
      </c>
      <c r="G444" s="306">
        <f t="shared" ca="1" si="185"/>
        <v>17.735285963296143</v>
      </c>
      <c r="H444" s="307">
        <f t="shared" ca="1" si="186"/>
        <v>-88.583270278883617</v>
      </c>
      <c r="I444" s="304">
        <f t="shared" ca="1" si="187"/>
        <v>90.341220611090009</v>
      </c>
      <c r="J444" s="306">
        <f t="shared" ca="1" si="188"/>
        <v>643.22056587468785</v>
      </c>
      <c r="K444" s="307">
        <f t="shared" ca="1" si="189"/>
        <v>809.05717639647492</v>
      </c>
      <c r="L444" s="304">
        <f t="shared" ca="1" si="174"/>
        <v>1033.5889952214034</v>
      </c>
      <c r="M444" s="306">
        <f t="shared" ca="1" si="190"/>
        <v>-1.3731985326994991</v>
      </c>
      <c r="N444" s="304">
        <f t="shared" ca="1" si="191"/>
        <v>-78.678480357238669</v>
      </c>
      <c r="P444" s="310">
        <f t="shared" ca="1" si="192"/>
        <v>23</v>
      </c>
      <c r="Q444" s="304">
        <f t="shared" ca="1" si="193"/>
        <v>0</v>
      </c>
      <c r="R444" s="306">
        <f t="shared" ca="1" si="194"/>
        <v>0</v>
      </c>
      <c r="S444" s="307">
        <f t="shared" ca="1" si="195"/>
        <v>7.9769999999999968</v>
      </c>
      <c r="T444" s="304">
        <f t="shared" ca="1" si="175"/>
        <v>78.254369999999966</v>
      </c>
      <c r="U444" s="311">
        <f t="shared" ca="1" si="176"/>
        <v>0</v>
      </c>
      <c r="V444" s="306">
        <f t="shared" ca="1" si="177"/>
        <v>1.1297438783329528</v>
      </c>
      <c r="W444" s="304">
        <f t="shared" ca="1" si="178"/>
        <v>30.456888788499985</v>
      </c>
      <c r="Y444" s="314" t="str">
        <f t="shared" ca="1" si="196"/>
        <v/>
      </c>
      <c r="Z444" s="315" t="str">
        <f t="shared" ca="1" si="197"/>
        <v/>
      </c>
      <c r="AA444" s="316" t="str">
        <f t="shared" ca="1" si="198"/>
        <v/>
      </c>
      <c r="AC444" s="310">
        <f t="shared" ca="1" si="199"/>
        <v>26.000000000000103</v>
      </c>
      <c r="AD444" s="323">
        <f t="shared" ca="1" si="200"/>
        <v>643.22056587468785</v>
      </c>
      <c r="AE444" s="324" t="e">
        <f t="shared" ca="1" si="179"/>
        <v>#N/A</v>
      </c>
      <c r="AG444" s="306">
        <f t="shared" ca="1" si="201"/>
        <v>5.8494789732306316</v>
      </c>
      <c r="AH444" s="304">
        <f t="shared" ca="1" si="202"/>
        <v>-3.7654562677913144</v>
      </c>
    </row>
    <row r="445" spans="1:34" x14ac:dyDescent="0.2">
      <c r="A445" s="347">
        <f t="shared" ca="1" si="180"/>
        <v>0.1</v>
      </c>
      <c r="B445" s="304">
        <f t="shared" ca="1" si="181"/>
        <v>26.100000000000104</v>
      </c>
      <c r="D445" s="306">
        <f t="shared" ca="1" si="182"/>
        <v>-0.74954582040648743</v>
      </c>
      <c r="E445" s="307">
        <f t="shared" ca="1" si="183"/>
        <v>-6.0662080965095786</v>
      </c>
      <c r="F445" s="304">
        <f t="shared" ca="1" si="184"/>
        <v>6.1123399453112226</v>
      </c>
      <c r="G445" s="306">
        <f t="shared" ca="1" si="185"/>
        <v>17.660331381255492</v>
      </c>
      <c r="H445" s="307">
        <f t="shared" ca="1" si="186"/>
        <v>-89.18989108853458</v>
      </c>
      <c r="I445" s="304">
        <f t="shared" ca="1" si="187"/>
        <v>90.921526476849351</v>
      </c>
      <c r="J445" s="306">
        <f t="shared" ca="1" si="188"/>
        <v>644.99034674191546</v>
      </c>
      <c r="K445" s="307">
        <f t="shared" ca="1" si="189"/>
        <v>800.16851832810403</v>
      </c>
      <c r="L445" s="304">
        <f t="shared" ca="1" si="174"/>
        <v>1027.7559073601328</v>
      </c>
      <c r="M445" s="306">
        <f t="shared" ca="1" si="190"/>
        <v>-1.3753166736421729</v>
      </c>
      <c r="N445" s="304">
        <f t="shared" ca="1" si="191"/>
        <v>-78.799840893667735</v>
      </c>
      <c r="P445" s="310">
        <f t="shared" ca="1" si="192"/>
        <v>23</v>
      </c>
      <c r="Q445" s="304">
        <f t="shared" ca="1" si="193"/>
        <v>0</v>
      </c>
      <c r="R445" s="306">
        <f t="shared" ca="1" si="194"/>
        <v>0</v>
      </c>
      <c r="S445" s="307">
        <f t="shared" ca="1" si="195"/>
        <v>7.9769999999999968</v>
      </c>
      <c r="T445" s="304">
        <f t="shared" ca="1" si="175"/>
        <v>78.254369999999966</v>
      </c>
      <c r="U445" s="311">
        <f t="shared" ca="1" si="176"/>
        <v>0</v>
      </c>
      <c r="V445" s="306">
        <f t="shared" ca="1" si="177"/>
        <v>1.1307501448521229</v>
      </c>
      <c r="W445" s="304">
        <f t="shared" ca="1" si="178"/>
        <v>30.876902158411255</v>
      </c>
      <c r="Y445" s="314" t="str">
        <f t="shared" ca="1" si="196"/>
        <v/>
      </c>
      <c r="Z445" s="315" t="str">
        <f t="shared" ca="1" si="197"/>
        <v/>
      </c>
      <c r="AA445" s="316" t="str">
        <f t="shared" ca="1" si="198"/>
        <v/>
      </c>
      <c r="AC445" s="310" t="e">
        <f t="shared" ca="1" si="199"/>
        <v>#N/A</v>
      </c>
      <c r="AD445" s="323" t="e">
        <f t="shared" ca="1" si="200"/>
        <v>#N/A</v>
      </c>
      <c r="AE445" s="324" t="e">
        <f t="shared" ca="1" si="179"/>
        <v>#N/A</v>
      </c>
      <c r="AG445" s="306">
        <f t="shared" ca="1" si="201"/>
        <v>5.8010190516423492</v>
      </c>
      <c r="AH445" s="304">
        <f t="shared" ca="1" si="202"/>
        <v>-3.8180881018553339</v>
      </c>
    </row>
    <row r="446" spans="1:34" x14ac:dyDescent="0.2">
      <c r="A446" s="347">
        <f t="shared" ca="1" si="180"/>
        <v>0.1</v>
      </c>
      <c r="B446" s="304">
        <f t="shared" ca="1" si="181"/>
        <v>26.200000000000106</v>
      </c>
      <c r="D446" s="306">
        <f t="shared" ca="1" si="182"/>
        <v>-0.75184144019216415</v>
      </c>
      <c r="E446" s="307">
        <f t="shared" ca="1" si="183"/>
        <v>-6.0129786010833666</v>
      </c>
      <c r="F446" s="304">
        <f t="shared" ca="1" si="184"/>
        <v>6.059800096395648</v>
      </c>
      <c r="G446" s="306">
        <f t="shared" ca="1" si="185"/>
        <v>17.585147237236274</v>
      </c>
      <c r="H446" s="307">
        <f t="shared" ca="1" si="186"/>
        <v>-89.791188948642912</v>
      </c>
      <c r="I446" s="304">
        <f t="shared" ca="1" si="187"/>
        <v>91.496967251194576</v>
      </c>
      <c r="J446" s="306">
        <f t="shared" ca="1" si="188"/>
        <v>646.75262067284007</v>
      </c>
      <c r="K446" s="307">
        <f t="shared" ca="1" si="189"/>
        <v>791.2194643262452</v>
      </c>
      <c r="L446" s="304">
        <f t="shared" ca="1" si="174"/>
        <v>1021.9183886572827</v>
      </c>
      <c r="M446" s="306">
        <f t="shared" ca="1" si="190"/>
        <v>-1.3773992203570034</v>
      </c>
      <c r="N446" s="304">
        <f t="shared" ca="1" si="191"/>
        <v>-78.91916203106635</v>
      </c>
      <c r="P446" s="310">
        <f t="shared" ca="1" si="192"/>
        <v>23</v>
      </c>
      <c r="Q446" s="304">
        <f t="shared" ca="1" si="193"/>
        <v>0</v>
      </c>
      <c r="R446" s="306">
        <f t="shared" ca="1" si="194"/>
        <v>0</v>
      </c>
      <c r="S446" s="307">
        <f t="shared" ca="1" si="195"/>
        <v>7.9769999999999968</v>
      </c>
      <c r="T446" s="304">
        <f t="shared" ca="1" si="175"/>
        <v>78.254369999999966</v>
      </c>
      <c r="U446" s="311">
        <f t="shared" ca="1" si="176"/>
        <v>0</v>
      </c>
      <c r="V446" s="306">
        <f t="shared" ca="1" si="177"/>
        <v>1.1317641178563205</v>
      </c>
      <c r="W446" s="304">
        <f t="shared" ca="1" si="178"/>
        <v>31.29701743164647</v>
      </c>
      <c r="Y446" s="314" t="str">
        <f t="shared" ca="1" si="196"/>
        <v/>
      </c>
      <c r="Z446" s="315" t="str">
        <f t="shared" ca="1" si="197"/>
        <v/>
      </c>
      <c r="AA446" s="316" t="str">
        <f t="shared" ca="1" si="198"/>
        <v/>
      </c>
      <c r="AC446" s="310" t="e">
        <f t="shared" ca="1" si="199"/>
        <v>#N/A</v>
      </c>
      <c r="AD446" s="323" t="e">
        <f t="shared" ca="1" si="200"/>
        <v>#N/A</v>
      </c>
      <c r="AE446" s="324" t="e">
        <f t="shared" ca="1" si="179"/>
        <v>#N/A</v>
      </c>
      <c r="AG446" s="306">
        <f t="shared" ca="1" si="201"/>
        <v>5.7524236320595943</v>
      </c>
      <c r="AH446" s="304">
        <f t="shared" ca="1" si="202"/>
        <v>-3.8707411506094105</v>
      </c>
    </row>
    <row r="447" spans="1:34" x14ac:dyDescent="0.2">
      <c r="A447" s="347">
        <f t="shared" ca="1" si="180"/>
        <v>0.1</v>
      </c>
      <c r="B447" s="304">
        <f t="shared" ca="1" si="181"/>
        <v>26.300000000000107</v>
      </c>
      <c r="D447" s="306">
        <f t="shared" ca="1" si="182"/>
        <v>-0.7540543843391242</v>
      </c>
      <c r="E447" s="307">
        <f t="shared" ca="1" si="183"/>
        <v>-5.9597371168790989</v>
      </c>
      <c r="F447" s="304">
        <f t="shared" ca="1" si="184"/>
        <v>6.0072509949932549</v>
      </c>
      <c r="G447" s="306">
        <f t="shared" ca="1" si="185"/>
        <v>17.509741798802363</v>
      </c>
      <c r="H447" s="307">
        <f t="shared" ca="1" si="186"/>
        <v>-90.387162660330816</v>
      </c>
      <c r="I447" s="304">
        <f t="shared" ca="1" si="187"/>
        <v>92.067530821923469</v>
      </c>
      <c r="J447" s="306">
        <f t="shared" ca="1" si="188"/>
        <v>648.50736512464198</v>
      </c>
      <c r="K447" s="307">
        <f t="shared" ca="1" si="189"/>
        <v>782.21054674579648</v>
      </c>
      <c r="L447" s="304">
        <f t="shared" ca="1" si="174"/>
        <v>1016.0783149252146</v>
      </c>
      <c r="M447" s="306">
        <f t="shared" ca="1" si="190"/>
        <v>-1.3794470891350716</v>
      </c>
      <c r="N447" s="304">
        <f t="shared" ca="1" si="191"/>
        <v>-79.036496269046282</v>
      </c>
      <c r="P447" s="310">
        <f t="shared" ca="1" si="192"/>
        <v>23</v>
      </c>
      <c r="Q447" s="304">
        <f t="shared" ca="1" si="193"/>
        <v>0</v>
      </c>
      <c r="R447" s="306">
        <f t="shared" ca="1" si="194"/>
        <v>0</v>
      </c>
      <c r="S447" s="307">
        <f t="shared" ca="1" si="195"/>
        <v>7.9769999999999968</v>
      </c>
      <c r="T447" s="304">
        <f t="shared" ca="1" si="175"/>
        <v>78.254369999999966</v>
      </c>
      <c r="U447" s="311">
        <f t="shared" ca="1" si="176"/>
        <v>0</v>
      </c>
      <c r="V447" s="306">
        <f t="shared" ca="1" si="177"/>
        <v>1.1327857557444831</v>
      </c>
      <c r="W447" s="304">
        <f t="shared" ca="1" si="178"/>
        <v>31.717168083418532</v>
      </c>
      <c r="Y447" s="314" t="str">
        <f t="shared" ca="1" si="196"/>
        <v/>
      </c>
      <c r="Z447" s="315" t="str">
        <f t="shared" ca="1" si="197"/>
        <v/>
      </c>
      <c r="AA447" s="316" t="str">
        <f t="shared" ca="1" si="198"/>
        <v/>
      </c>
      <c r="AC447" s="310" t="e">
        <f t="shared" ca="1" si="199"/>
        <v>#N/A</v>
      </c>
      <c r="AD447" s="323" t="e">
        <f t="shared" ca="1" si="200"/>
        <v>#N/A</v>
      </c>
      <c r="AE447" s="324" t="e">
        <f t="shared" ca="1" si="179"/>
        <v>#N/A</v>
      </c>
      <c r="AG447" s="306">
        <f t="shared" ca="1" si="201"/>
        <v>5.7037051593164261</v>
      </c>
      <c r="AH447" s="304">
        <f t="shared" ca="1" si="202"/>
        <v>-3.923406974006078</v>
      </c>
    </row>
    <row r="448" spans="1:34" x14ac:dyDescent="0.2">
      <c r="A448" s="347">
        <f t="shared" ca="1" si="180"/>
        <v>0.1</v>
      </c>
      <c r="B448" s="304">
        <f t="shared" ca="1" si="181"/>
        <v>26.400000000000109</v>
      </c>
      <c r="D448" s="306">
        <f t="shared" ca="1" si="182"/>
        <v>-0.75618499911023929</v>
      </c>
      <c r="E448" s="307">
        <f t="shared" ca="1" si="183"/>
        <v>-5.906492038474588</v>
      </c>
      <c r="F448" s="304">
        <f t="shared" ca="1" si="184"/>
        <v>5.9547009961410362</v>
      </c>
      <c r="G448" s="306">
        <f t="shared" ca="1" si="185"/>
        <v>17.43412329889134</v>
      </c>
      <c r="H448" s="307">
        <f t="shared" ca="1" si="186"/>
        <v>-90.977811864178278</v>
      </c>
      <c r="I448" s="304">
        <f t="shared" ca="1" si="187"/>
        <v>92.633206285838796</v>
      </c>
      <c r="J448" s="306">
        <f t="shared" ca="1" si="188"/>
        <v>650.25455837952666</v>
      </c>
      <c r="K448" s="307">
        <f t="shared" ca="1" si="189"/>
        <v>773.14229801957106</v>
      </c>
      <c r="L448" s="304">
        <f t="shared" ca="1" si="174"/>
        <v>1010.2375976374748</v>
      </c>
      <c r="M448" s="306">
        <f t="shared" ca="1" si="190"/>
        <v>-1.3814611651178583</v>
      </c>
      <c r="N448" s="304">
        <f t="shared" ca="1" si="191"/>
        <v>-79.151894322478626</v>
      </c>
      <c r="P448" s="310">
        <f t="shared" ca="1" si="192"/>
        <v>23</v>
      </c>
      <c r="Q448" s="304">
        <f t="shared" ca="1" si="193"/>
        <v>0</v>
      </c>
      <c r="R448" s="306">
        <f t="shared" ca="1" si="194"/>
        <v>0</v>
      </c>
      <c r="S448" s="307">
        <f t="shared" ca="1" si="195"/>
        <v>7.9769999999999968</v>
      </c>
      <c r="T448" s="304">
        <f t="shared" ca="1" si="175"/>
        <v>78.254369999999966</v>
      </c>
      <c r="U448" s="311">
        <f t="shared" ca="1" si="176"/>
        <v>0</v>
      </c>
      <c r="V448" s="306">
        <f t="shared" ca="1" si="177"/>
        <v>1.1338150168629744</v>
      </c>
      <c r="W448" s="304">
        <f t="shared" ca="1" si="178"/>
        <v>32.137288403577067</v>
      </c>
      <c r="Y448" s="314" t="str">
        <f t="shared" ca="1" si="196"/>
        <v/>
      </c>
      <c r="Z448" s="315" t="str">
        <f t="shared" ca="1" si="197"/>
        <v/>
      </c>
      <c r="AA448" s="316" t="str">
        <f t="shared" ca="1" si="198"/>
        <v/>
      </c>
      <c r="AC448" s="310" t="e">
        <f t="shared" ca="1" si="199"/>
        <v>#N/A</v>
      </c>
      <c r="AD448" s="323" t="e">
        <f t="shared" ca="1" si="200"/>
        <v>#N/A</v>
      </c>
      <c r="AE448" s="324" t="e">
        <f t="shared" ca="1" si="179"/>
        <v>#N/A</v>
      </c>
      <c r="AG448" s="306">
        <f t="shared" ca="1" si="201"/>
        <v>5.6548758058256654</v>
      </c>
      <c r="AH448" s="304">
        <f t="shared" ca="1" si="202"/>
        <v>-3.9760772324706712</v>
      </c>
    </row>
    <row r="449" spans="1:34" x14ac:dyDescent="0.2">
      <c r="A449" s="347">
        <f t="shared" ca="1" si="180"/>
        <v>0.1</v>
      </c>
      <c r="B449" s="304">
        <f t="shared" ca="1" si="181"/>
        <v>26.50000000000011</v>
      </c>
      <c r="D449" s="306">
        <f t="shared" ca="1" si="182"/>
        <v>-0.75823365099884832</v>
      </c>
      <c r="E449" s="307">
        <f t="shared" ca="1" si="183"/>
        <v>-5.853251658427304</v>
      </c>
      <c r="F449" s="304">
        <f t="shared" ca="1" si="184"/>
        <v>5.9021583549061969</v>
      </c>
      <c r="G449" s="306">
        <f t="shared" ca="1" si="185"/>
        <v>17.358299933791454</v>
      </c>
      <c r="H449" s="307">
        <f t="shared" ca="1" si="186"/>
        <v>-91.563137030021011</v>
      </c>
      <c r="I449" s="304">
        <f t="shared" ca="1" si="187"/>
        <v>93.193983922621683</v>
      </c>
      <c r="J449" s="306">
        <f t="shared" ca="1" si="188"/>
        <v>651.99417954116075</v>
      </c>
      <c r="K449" s="307">
        <f t="shared" ca="1" si="189"/>
        <v>764.01525057486106</v>
      </c>
      <c r="L449" s="304">
        <f t="shared" ca="1" si="174"/>
        <v>1004.3981846192869</v>
      </c>
      <c r="M449" s="306">
        <f t="shared" ca="1" si="190"/>
        <v>-1.3834423035844887</v>
      </c>
      <c r="N449" s="304">
        <f t="shared" ca="1" si="191"/>
        <v>-79.265405195247567</v>
      </c>
      <c r="P449" s="310">
        <f t="shared" ca="1" si="192"/>
        <v>23</v>
      </c>
      <c r="Q449" s="304">
        <f t="shared" ca="1" si="193"/>
        <v>0</v>
      </c>
      <c r="R449" s="306">
        <f t="shared" ca="1" si="194"/>
        <v>0</v>
      </c>
      <c r="S449" s="307">
        <f t="shared" ca="1" si="195"/>
        <v>7.9769999999999968</v>
      </c>
      <c r="T449" s="304">
        <f t="shared" ca="1" si="175"/>
        <v>78.254369999999966</v>
      </c>
      <c r="U449" s="311">
        <f t="shared" ca="1" si="176"/>
        <v>0</v>
      </c>
      <c r="V449" s="306">
        <f t="shared" ca="1" si="177"/>
        <v>1.1348518595117778</v>
      </c>
      <c r="W449" s="304">
        <f t="shared" ca="1" si="178"/>
        <v>32.557313509152003</v>
      </c>
      <c r="Y449" s="314" t="str">
        <f t="shared" ca="1" si="196"/>
        <v/>
      </c>
      <c r="Z449" s="315" t="str">
        <f t="shared" ca="1" si="197"/>
        <v/>
      </c>
      <c r="AA449" s="316" t="str">
        <f t="shared" ca="1" si="198"/>
        <v/>
      </c>
      <c r="AC449" s="310" t="e">
        <f t="shared" ca="1" si="199"/>
        <v>#N/A</v>
      </c>
      <c r="AD449" s="323" t="e">
        <f t="shared" ca="1" si="200"/>
        <v>#N/A</v>
      </c>
      <c r="AE449" s="324" t="e">
        <f t="shared" ca="1" si="179"/>
        <v>#N/A</v>
      </c>
      <c r="AG449" s="306">
        <f t="shared" ca="1" si="201"/>
        <v>5.605947478605124</v>
      </c>
      <c r="AH449" s="304">
        <f t="shared" ca="1" si="202"/>
        <v>-4.0287436885517209</v>
      </c>
    </row>
    <row r="450" spans="1:34" x14ac:dyDescent="0.2">
      <c r="A450" s="347">
        <f t="shared" ca="1" si="180"/>
        <v>0.1</v>
      </c>
      <c r="B450" s="304">
        <f t="shared" ca="1" si="181"/>
        <v>26.600000000000112</v>
      </c>
      <c r="D450" s="306">
        <f t="shared" ca="1" si="182"/>
        <v>-0.76020072616587497</v>
      </c>
      <c r="E450" s="307">
        <f t="shared" ca="1" si="183"/>
        <v>-5.8000241656301501</v>
      </c>
      <c r="F450" s="304">
        <f t="shared" ca="1" si="184"/>
        <v>5.8496312247830495</v>
      </c>
      <c r="G450" s="306">
        <f t="shared" ca="1" si="185"/>
        <v>17.282279861174867</v>
      </c>
      <c r="H450" s="307">
        <f t="shared" ca="1" si="186"/>
        <v>-92.14313944658403</v>
      </c>
      <c r="I450" s="304">
        <f t="shared" ca="1" si="187"/>
        <v>93.749855169341984</v>
      </c>
      <c r="J450" s="306">
        <f t="shared" ca="1" si="188"/>
        <v>653.72620853090905</v>
      </c>
      <c r="K450" s="307">
        <f t="shared" ca="1" si="189"/>
        <v>754.8299367510308</v>
      </c>
      <c r="L450" s="304">
        <f t="shared" ca="1" si="174"/>
        <v>998.5620607332138</v>
      </c>
      <c r="M450" s="306">
        <f t="shared" ca="1" si="190"/>
        <v>-1.385391331176878</v>
      </c>
      <c r="N450" s="304">
        <f t="shared" ca="1" si="191"/>
        <v>-79.377076250446009</v>
      </c>
      <c r="P450" s="310">
        <f t="shared" ca="1" si="192"/>
        <v>23</v>
      </c>
      <c r="Q450" s="304">
        <f t="shared" ca="1" si="193"/>
        <v>0</v>
      </c>
      <c r="R450" s="306">
        <f t="shared" ca="1" si="194"/>
        <v>0</v>
      </c>
      <c r="S450" s="307">
        <f t="shared" ca="1" si="195"/>
        <v>7.9769999999999968</v>
      </c>
      <c r="T450" s="304">
        <f t="shared" ca="1" si="175"/>
        <v>78.254369999999966</v>
      </c>
      <c r="U450" s="311">
        <f t="shared" ca="1" si="176"/>
        <v>0</v>
      </c>
      <c r="V450" s="306">
        <f t="shared" ca="1" si="177"/>
        <v>1.1358962419506331</v>
      </c>
      <c r="W450" s="304">
        <f t="shared" ca="1" si="178"/>
        <v>32.977179356278469</v>
      </c>
      <c r="Y450" s="314" t="str">
        <f t="shared" ca="1" si="196"/>
        <v/>
      </c>
      <c r="Z450" s="315" t="str">
        <f t="shared" ca="1" si="197"/>
        <v/>
      </c>
      <c r="AA450" s="316" t="str">
        <f t="shared" ca="1" si="198"/>
        <v/>
      </c>
      <c r="AC450" s="310" t="e">
        <f t="shared" ca="1" si="199"/>
        <v>#N/A</v>
      </c>
      <c r="AD450" s="323" t="e">
        <f t="shared" ca="1" si="200"/>
        <v>#N/A</v>
      </c>
      <c r="AE450" s="324" t="e">
        <f t="shared" ca="1" si="179"/>
        <v>#N/A</v>
      </c>
      <c r="AG450" s="306">
        <f t="shared" ca="1" si="201"/>
        <v>5.5569318258820148</v>
      </c>
      <c r="AH450" s="304">
        <f t="shared" ca="1" si="202"/>
        <v>-4.0813982084934208</v>
      </c>
    </row>
    <row r="451" spans="1:34" x14ac:dyDescent="0.2">
      <c r="A451" s="347">
        <f t="shared" ca="1" si="180"/>
        <v>0.1</v>
      </c>
      <c r="B451" s="304">
        <f t="shared" ca="1" si="181"/>
        <v>26.700000000000113</v>
      </c>
      <c r="D451" s="306">
        <f t="shared" ca="1" si="182"/>
        <v>-0.76208662988336395</v>
      </c>
      <c r="E451" s="307">
        <f t="shared" ca="1" si="183"/>
        <v>-5.7468176437488623</v>
      </c>
      <c r="F451" s="304">
        <f t="shared" ca="1" si="184"/>
        <v>5.79712765617165</v>
      </c>
      <c r="G451" s="306">
        <f t="shared" ca="1" si="185"/>
        <v>17.206071198186532</v>
      </c>
      <c r="H451" s="307">
        <f t="shared" ca="1" si="186"/>
        <v>-92.717821210958917</v>
      </c>
      <c r="I451" s="304">
        <f t="shared" ca="1" si="187"/>
        <v>94.300812595567848</v>
      </c>
      <c r="J451" s="306">
        <f t="shared" ca="1" si="188"/>
        <v>655.45062608387707</v>
      </c>
      <c r="K451" s="307">
        <f t="shared" ca="1" si="189"/>
        <v>745.58688871815366</v>
      </c>
      <c r="L451" s="304">
        <f t="shared" ca="1" si="174"/>
        <v>992.73124855731373</v>
      </c>
      <c r="M451" s="306">
        <f t="shared" ca="1" si="190"/>
        <v>-1.3873090470661762</v>
      </c>
      <c r="N451" s="304">
        <f t="shared" ca="1" si="191"/>
        <v>-79.486953277207974</v>
      </c>
      <c r="P451" s="310">
        <f t="shared" ca="1" si="192"/>
        <v>23</v>
      </c>
      <c r="Q451" s="304">
        <f t="shared" ca="1" si="193"/>
        <v>0</v>
      </c>
      <c r="R451" s="306">
        <f t="shared" ca="1" si="194"/>
        <v>0</v>
      </c>
      <c r="S451" s="307">
        <f t="shared" ca="1" si="195"/>
        <v>7.9769999999999968</v>
      </c>
      <c r="T451" s="304">
        <f t="shared" ca="1" si="175"/>
        <v>78.254369999999966</v>
      </c>
      <c r="U451" s="311">
        <f t="shared" ca="1" si="176"/>
        <v>0</v>
      </c>
      <c r="V451" s="306">
        <f t="shared" ca="1" si="177"/>
        <v>1.1369481224051143</v>
      </c>
      <c r="W451" s="304">
        <f t="shared" ca="1" si="178"/>
        <v>33.396822751506569</v>
      </c>
      <c r="Y451" s="314" t="str">
        <f t="shared" ca="1" si="196"/>
        <v/>
      </c>
      <c r="Z451" s="315" t="str">
        <f t="shared" ca="1" si="197"/>
        <v/>
      </c>
      <c r="AA451" s="316" t="str">
        <f t="shared" ca="1" si="198"/>
        <v/>
      </c>
      <c r="AC451" s="310" t="e">
        <f t="shared" ca="1" si="199"/>
        <v>#N/A</v>
      </c>
      <c r="AD451" s="323" t="e">
        <f t="shared" ca="1" si="200"/>
        <v>#N/A</v>
      </c>
      <c r="AE451" s="324" t="e">
        <f t="shared" ca="1" si="179"/>
        <v>#N/A</v>
      </c>
      <c r="AG451" s="306">
        <f t="shared" ca="1" si="201"/>
        <v>5.5078402433073457</v>
      </c>
      <c r="AH451" s="304">
        <f t="shared" ca="1" si="202"/>
        <v>-4.1340327637305361</v>
      </c>
    </row>
    <row r="452" spans="1:34" x14ac:dyDescent="0.2">
      <c r="A452" s="347">
        <f t="shared" ca="1" si="180"/>
        <v>0.1</v>
      </c>
      <c r="B452" s="304">
        <f t="shared" ca="1" si="181"/>
        <v>26.800000000000114</v>
      </c>
      <c r="D452" s="306">
        <f t="shared" ca="1" si="182"/>
        <v>-0.76389178598426466</v>
      </c>
      <c r="E452" s="307">
        <f t="shared" ca="1" si="183"/>
        <v>-5.6936400697403817</v>
      </c>
      <c r="F452" s="304">
        <f t="shared" ca="1" si="184"/>
        <v>5.7446555949375666</v>
      </c>
      <c r="G452" s="306">
        <f t="shared" ca="1" si="185"/>
        <v>17.129682019588106</v>
      </c>
      <c r="H452" s="307">
        <f t="shared" ca="1" si="186"/>
        <v>-93.287185217932958</v>
      </c>
      <c r="I452" s="304">
        <f t="shared" ca="1" si="187"/>
        <v>94.846849879039894</v>
      </c>
      <c r="J452" s="306">
        <f t="shared" ca="1" si="188"/>
        <v>657.16741374476578</v>
      </c>
      <c r="K452" s="307">
        <f t="shared" ca="1" si="189"/>
        <v>736.28663839670912</v>
      </c>
      <c r="L452" s="304">
        <f t="shared" ref="L452:L515" ca="1" si="203">SQRT(pos_x^2+pos_z^2)</f>
        <v>986.90780905285703</v>
      </c>
      <c r="M452" s="306">
        <f t="shared" ca="1" si="190"/>
        <v>-1.3891962240637015</v>
      </c>
      <c r="N452" s="304">
        <f t="shared" ca="1" si="191"/>
        <v>-79.595080554360351</v>
      </c>
      <c r="P452" s="310">
        <f t="shared" ca="1" si="192"/>
        <v>23</v>
      </c>
      <c r="Q452" s="304">
        <f t="shared" ca="1" si="193"/>
        <v>0</v>
      </c>
      <c r="R452" s="306">
        <f t="shared" ca="1" si="194"/>
        <v>0</v>
      </c>
      <c r="S452" s="307">
        <f t="shared" ca="1" si="195"/>
        <v>7.9769999999999968</v>
      </c>
      <c r="T452" s="304">
        <f t="shared" ref="T452:T515" ca="1" si="204">m*g</f>
        <v>78.254369999999966</v>
      </c>
      <c r="U452" s="311">
        <f t="shared" ref="U452:U515" ca="1" si="205">IF(pos_xz&lt;L_rampe,Poids*COS(Beta),0)</f>
        <v>0</v>
      </c>
      <c r="V452" s="306">
        <f t="shared" ref="V452:V515" ca="1" si="206">Rho_moyen*(20000-Alt_rampe-pos_z)/(20000+Alt_rampe+pos_z)</f>
        <v>1.1380074590726525</v>
      </c>
      <c r="W452" s="304">
        <f t="shared" ref="W452:W515" ca="1" si="207">1/2*Rho*Sref*Cx*vit_xz^2</f>
        <v>33.816181362499584</v>
      </c>
      <c r="Y452" s="314" t="str">
        <f t="shared" ca="1" si="196"/>
        <v/>
      </c>
      <c r="Z452" s="315" t="str">
        <f t="shared" ca="1" si="197"/>
        <v/>
      </c>
      <c r="AA452" s="316" t="str">
        <f t="shared" ca="1" si="198"/>
        <v/>
      </c>
      <c r="AC452" s="310" t="e">
        <f t="shared" ca="1" si="199"/>
        <v>#N/A</v>
      </c>
      <c r="AD452" s="323" t="e">
        <f t="shared" ca="1" si="200"/>
        <v>#N/A</v>
      </c>
      <c r="AE452" s="324" t="e">
        <f t="shared" ref="AE452:AE515" ca="1" si="208">IF(t&lt;T_para, pos_z, NA())</f>
        <v>#N/A</v>
      </c>
      <c r="AG452" s="306">
        <f t="shared" ca="1" si="201"/>
        <v>5.4586838798097368</v>
      </c>
      <c r="AH452" s="304">
        <f t="shared" ca="1" si="202"/>
        <v>-4.1866394323062028</v>
      </c>
    </row>
    <row r="453" spans="1:34" x14ac:dyDescent="0.2">
      <c r="A453" s="347">
        <f t="shared" ref="A453:A516" ca="1" si="209">IF(B452+0.01&lt;=T_ini+ROUNDUP(Temps_fin_propu,0), 0.01, IF(K452&gt;0, 0.1, 0.0001))</f>
        <v>0.1</v>
      </c>
      <c r="B453" s="304">
        <f t="shared" ref="B453:B516" ca="1" si="210">B452+pas</f>
        <v>26.900000000000116</v>
      </c>
      <c r="D453" s="306">
        <f t="shared" ref="D453:D516" ca="1" si="211">IF(AND(L452&lt;L_rampe,Poussee&lt;Poids*SIN(M452)),0,(-W452+Poussee)/m*COS(M452)-U452/m*SIN(M452))</f>
        <v>-0.7656166363183351</v>
      </c>
      <c r="E453" s="307">
        <f t="shared" ref="E453:E516" ca="1" si="212">IF(AND(L452&lt;L_rampe,Poussee&lt;Poids*SIN(M452)),0,(-W452+Poussee)/m*SIN(M452)+U452/m*COS(M452)-Poids/m)</f>
        <v>-5.640499312451527</v>
      </c>
      <c r="F453" s="304">
        <f t="shared" ref="F453:F516" ca="1" si="213">SQRT(acc_x^2+acc_z^2)</f>
        <v>5.6922228810521425</v>
      </c>
      <c r="G453" s="306">
        <f t="shared" ref="G453:G516" ca="1" si="214">G452+acc_x*pas</f>
        <v>17.053120355956274</v>
      </c>
      <c r="H453" s="307">
        <f t="shared" ref="H453:H516" ca="1" si="215">H452+acc_z*pas</f>
        <v>-93.851235149178109</v>
      </c>
      <c r="I453" s="304">
        <f t="shared" ref="I453:I516" ca="1" si="216">SQRT(vit_x^2+vit_z^2)</f>
        <v>95.387961781878204</v>
      </c>
      <c r="J453" s="306">
        <f t="shared" ref="J453:J516" ca="1" si="217">J452+0.5*(vit_x+G452)*pas*(K452&gt;=0)</f>
        <v>658.87655386354299</v>
      </c>
      <c r="K453" s="307">
        <f t="shared" ref="K453:K516" ca="1" si="218">K452+0.5*(vit_z+H452)*pas</f>
        <v>726.92971737835353</v>
      </c>
      <c r="L453" s="304">
        <f t="shared" ca="1" si="203"/>
        <v>981.09384221840435</v>
      </c>
      <c r="M453" s="306">
        <f t="shared" ref="M453:M516" ca="1" si="219">IF(AND(L452&gt;L_rampe,G453&gt;0),ATAN2(G453,H453),$M$4)</f>
        <v>-1.391053609679362</v>
      </c>
      <c r="N453" s="304">
        <f t="shared" ref="N453:N516" ca="1" si="220">DEGREES(Beta)</f>
        <v>-79.701500911066006</v>
      </c>
      <c r="P453" s="310">
        <f t="shared" ref="P453:P516" ca="1" si="221">MATCH(t-pas/2-T_ini,CdP_t)</f>
        <v>23</v>
      </c>
      <c r="Q453" s="304">
        <f t="shared" ref="Q453:Q516" ca="1" si="222">(INDEX(CdP,2,i_P+1)-INDEX(CdP,2,i_P+0))/(INDEX(CdP,1,i_P+1)-INDEX(CdP,1,i_P+0))*(t-pas/2-T_ini-INDEX(CdP,1,i_P+0))+INDEX(CdP,2,i_P+0)</f>
        <v>0</v>
      </c>
      <c r="R453" s="306">
        <f t="shared" ref="R453:R516" ca="1" si="223">Poussee/(g*ISP)</f>
        <v>0</v>
      </c>
      <c r="S453" s="307">
        <f t="shared" ref="S453:S516" ca="1" si="224">S452-Débit*pas</f>
        <v>7.9769999999999968</v>
      </c>
      <c r="T453" s="304">
        <f t="shared" ca="1" si="204"/>
        <v>78.254369999999966</v>
      </c>
      <c r="U453" s="311">
        <f t="shared" ca="1" si="205"/>
        <v>0</v>
      </c>
      <c r="V453" s="306">
        <f t="shared" ca="1" si="206"/>
        <v>1.1390742101284923</v>
      </c>
      <c r="W453" s="304">
        <f t="shared" ca="1" si="207"/>
        <v>34.235193728125175</v>
      </c>
      <c r="Y453" s="314" t="str">
        <f t="shared" ref="Y453:Y516" ca="1" si="225">IF(AND(pos_z&lt;=0,K452&gt;0),"Impact balistique","") &amp; IF(AND(H454&lt;0,vit_z&gt;=0),"Apogée","") &amp; IF(AND(Poussee=0,Q452&gt;0),"Fin de propulsion","") &amp; IF(AND(L454&gt;L_rampe,pos_xz&lt;=L_rampe),"Sortie de rampe","")</f>
        <v/>
      </c>
      <c r="Z453" s="315" t="str">
        <f t="shared" ref="Z453:Z516" ca="1" si="226">IF(ABS(t-T_para)&lt;pas/2,"Para","")</f>
        <v/>
      </c>
      <c r="AA453" s="316" t="str">
        <f t="shared" ref="AA453:AA516" ca="1" si="227">IF(ABS(t-T_satellite)&lt;pas/2,"Satellite","")</f>
        <v/>
      </c>
      <c r="AC453" s="310" t="e">
        <f t="shared" ref="AC453:AC516" ca="1" si="228">IF(ABS(t-ROUND(t,0))&lt;0.001,t,NA())</f>
        <v>#N/A</v>
      </c>
      <c r="AD453" s="323" t="e">
        <f t="shared" ref="AD453:AD516" ca="1" si="229">IF(ABS(t-ROUND(t,0))&lt;0.001,pos_x,NA())</f>
        <v>#N/A</v>
      </c>
      <c r="AE453" s="324" t="e">
        <f t="shared" ca="1" si="208"/>
        <v>#N/A</v>
      </c>
      <c r="AG453" s="306">
        <f t="shared" ref="AG453:AG516" ca="1" si="230">IF(AND(L452&lt;L_rampe,Poussee&lt;Poids*SIN(M452)),0,(-W452+Poussee)/m-Poids*SIN(M452)/m)</f>
        <v>5.4094736431160317</v>
      </c>
      <c r="AH453" s="304">
        <f t="shared" ref="AH453:AH516" ca="1" si="231">IF(AND(L452&lt;L_rampe,Poussee&lt;Poids*SIN(M452)), g*SIN(M452), (-W452+Poussee)/m)</f>
        <v>-4.2392104002130626</v>
      </c>
    </row>
    <row r="454" spans="1:34" x14ac:dyDescent="0.2">
      <c r="A454" s="347">
        <f t="shared" ca="1" si="209"/>
        <v>0.1</v>
      </c>
      <c r="B454" s="304">
        <f t="shared" ca="1" si="210"/>
        <v>27.000000000000117</v>
      </c>
      <c r="D454" s="306">
        <f t="shared" ca="1" si="211"/>
        <v>-0.76726164021404453</v>
      </c>
      <c r="E454" s="307">
        <f t="shared" ca="1" si="212"/>
        <v>-5.5874031312972363</v>
      </c>
      <c r="F454" s="304">
        <f t="shared" ca="1" si="213"/>
        <v>5.6398372473125598</v>
      </c>
      <c r="G454" s="306">
        <f t="shared" ca="1" si="214"/>
        <v>16.976394191934869</v>
      </c>
      <c r="H454" s="307">
        <f t="shared" ca="1" si="215"/>
        <v>-94.409975462307827</v>
      </c>
      <c r="I454" s="304">
        <f t="shared" ca="1" si="216"/>
        <v>95.924144127292195</v>
      </c>
      <c r="J454" s="306">
        <f t="shared" ca="1" si="217"/>
        <v>660.5780295909376</v>
      </c>
      <c r="K454" s="307">
        <f t="shared" ca="1" si="218"/>
        <v>717.51665684777925</v>
      </c>
      <c r="L454" s="304">
        <f t="shared" ca="1" si="203"/>
        <v>975.29148772675103</v>
      </c>
      <c r="M454" s="306">
        <f t="shared" ca="1" si="219"/>
        <v>-1.3928819271303867</v>
      </c>
      <c r="N454" s="304">
        <f t="shared" ca="1" si="220"/>
        <v>-79.806255784619836</v>
      </c>
      <c r="P454" s="310">
        <f t="shared" ca="1" si="221"/>
        <v>23</v>
      </c>
      <c r="Q454" s="304">
        <f t="shared" ca="1" si="222"/>
        <v>0</v>
      </c>
      <c r="R454" s="306">
        <f t="shared" ca="1" si="223"/>
        <v>0</v>
      </c>
      <c r="S454" s="307">
        <f t="shared" ca="1" si="224"/>
        <v>7.9769999999999968</v>
      </c>
      <c r="T454" s="304">
        <f t="shared" ca="1" si="204"/>
        <v>78.254369999999966</v>
      </c>
      <c r="U454" s="311">
        <f t="shared" ca="1" si="205"/>
        <v>0</v>
      </c>
      <c r="V454" s="306">
        <f t="shared" ca="1" si="206"/>
        <v>1.1401483337315905</v>
      </c>
      <c r="W454" s="304">
        <f t="shared" ca="1" si="207"/>
        <v>34.653799267943938</v>
      </c>
      <c r="Y454" s="314" t="str">
        <f t="shared" ca="1" si="225"/>
        <v/>
      </c>
      <c r="Z454" s="315" t="str">
        <f t="shared" ca="1" si="226"/>
        <v/>
      </c>
      <c r="AA454" s="316" t="str">
        <f t="shared" ca="1" si="227"/>
        <v/>
      </c>
      <c r="AC454" s="310">
        <f t="shared" ca="1" si="228"/>
        <v>27.000000000000117</v>
      </c>
      <c r="AD454" s="323">
        <f t="shared" ca="1" si="229"/>
        <v>660.5780295909376</v>
      </c>
      <c r="AE454" s="324" t="e">
        <f t="shared" ca="1" si="208"/>
        <v>#N/A</v>
      </c>
      <c r="AG454" s="306">
        <f t="shared" ca="1" si="230"/>
        <v>5.3602202049639471</v>
      </c>
      <c r="AH454" s="304">
        <f t="shared" ca="1" si="231"/>
        <v>-4.2917379626582912</v>
      </c>
    </row>
    <row r="455" spans="1:34" x14ac:dyDescent="0.2">
      <c r="A455" s="347">
        <f t="shared" ca="1" si="209"/>
        <v>0.1</v>
      </c>
      <c r="B455" s="304">
        <f t="shared" ca="1" si="210"/>
        <v>27.100000000000119</v>
      </c>
      <c r="D455" s="306">
        <f t="shared" ca="1" si="211"/>
        <v>-0.76882727394638084</v>
      </c>
      <c r="E455" s="307">
        <f t="shared" ca="1" si="212"/>
        <v>-5.5343591750176016</v>
      </c>
      <c r="F455" s="304">
        <f t="shared" ca="1" si="213"/>
        <v>5.5875063181409761</v>
      </c>
      <c r="G455" s="306">
        <f t="shared" ca="1" si="214"/>
        <v>16.899511464540232</v>
      </c>
      <c r="H455" s="307">
        <f t="shared" ca="1" si="215"/>
        <v>-94.963411379809585</v>
      </c>
      <c r="I455" s="304">
        <f t="shared" ca="1" si="216"/>
        <v>96.455393776766456</v>
      </c>
      <c r="J455" s="306">
        <f t="shared" ca="1" si="217"/>
        <v>662.27182487376137</v>
      </c>
      <c r="K455" s="307">
        <f t="shared" ca="1" si="218"/>
        <v>708.0479875056734</v>
      </c>
      <c r="L455" s="304">
        <f t="shared" ca="1" si="203"/>
        <v>969.50292554094767</v>
      </c>
      <c r="M455" s="306">
        <f t="shared" ca="1" si="219"/>
        <v>-1.3946818763030144</v>
      </c>
      <c r="N455" s="304">
        <f t="shared" ca="1" si="220"/>
        <v>-79.909385275549468</v>
      </c>
      <c r="P455" s="310">
        <f t="shared" ca="1" si="221"/>
        <v>23</v>
      </c>
      <c r="Q455" s="304">
        <f t="shared" ca="1" si="222"/>
        <v>0</v>
      </c>
      <c r="R455" s="306">
        <f t="shared" ca="1" si="223"/>
        <v>0</v>
      </c>
      <c r="S455" s="307">
        <f t="shared" ca="1" si="224"/>
        <v>7.9769999999999968</v>
      </c>
      <c r="T455" s="304">
        <f t="shared" ca="1" si="204"/>
        <v>78.254369999999966</v>
      </c>
      <c r="U455" s="311">
        <f t="shared" ca="1" si="205"/>
        <v>0</v>
      </c>
      <c r="V455" s="306">
        <f t="shared" ca="1" si="206"/>
        <v>1.1412297880304532</v>
      </c>
      <c r="W455" s="304">
        <f t="shared" ca="1" si="207"/>
        <v>35.071938291100857</v>
      </c>
      <c r="Y455" s="314" t="str">
        <f t="shared" ca="1" si="225"/>
        <v/>
      </c>
      <c r="Z455" s="315" t="str">
        <f t="shared" ca="1" si="226"/>
        <v/>
      </c>
      <c r="AA455" s="316" t="str">
        <f t="shared" ca="1" si="227"/>
        <v/>
      </c>
      <c r="AC455" s="310" t="e">
        <f t="shared" ca="1" si="228"/>
        <v>#N/A</v>
      </c>
      <c r="AD455" s="323" t="e">
        <f t="shared" ca="1" si="229"/>
        <v>#N/A</v>
      </c>
      <c r="AE455" s="324" t="e">
        <f t="shared" ca="1" si="208"/>
        <v>#N/A</v>
      </c>
      <c r="AG455" s="306">
        <f t="shared" ca="1" si="230"/>
        <v>5.3109340060302745</v>
      </c>
      <c r="AH455" s="304">
        <f t="shared" ca="1" si="231"/>
        <v>-4.344214525253097</v>
      </c>
    </row>
    <row r="456" spans="1:34" x14ac:dyDescent="0.2">
      <c r="A456" s="347">
        <f t="shared" ca="1" si="209"/>
        <v>0.1</v>
      </c>
      <c r="B456" s="304">
        <f t="shared" ca="1" si="210"/>
        <v>27.20000000000012</v>
      </c>
      <c r="D456" s="306">
        <f t="shared" ca="1" si="211"/>
        <v>-0.77031403021049238</v>
      </c>
      <c r="E456" s="307">
        <f t="shared" ca="1" si="212"/>
        <v>-5.4813749805128911</v>
      </c>
      <c r="F456" s="304">
        <f t="shared" ca="1" si="213"/>
        <v>5.5352376084619737</v>
      </c>
      <c r="G456" s="306">
        <f t="shared" ca="1" si="214"/>
        <v>16.822480061519183</v>
      </c>
      <c r="H456" s="307">
        <f t="shared" ca="1" si="215"/>
        <v>-95.511548877860875</v>
      </c>
      <c r="I456" s="304">
        <f t="shared" ca="1" si="216"/>
        <v>96.981708607696831</v>
      </c>
      <c r="J456" s="306">
        <f t="shared" ca="1" si="217"/>
        <v>663.9579244500643</v>
      </c>
      <c r="K456" s="307">
        <f t="shared" ca="1" si="218"/>
        <v>698.52423949278989</v>
      </c>
      <c r="L456" s="304">
        <f t="shared" ca="1" si="203"/>
        <v>963.73037650528465</v>
      </c>
      <c r="M456" s="306">
        <f t="shared" ca="1" si="219"/>
        <v>-1.3964541346696364</v>
      </c>
      <c r="N456" s="304">
        <f t="shared" ca="1" si="220"/>
        <v>-80.010928200163661</v>
      </c>
      <c r="P456" s="310">
        <f t="shared" ca="1" si="221"/>
        <v>23</v>
      </c>
      <c r="Q456" s="304">
        <f t="shared" ca="1" si="222"/>
        <v>0</v>
      </c>
      <c r="R456" s="306">
        <f t="shared" ca="1" si="223"/>
        <v>0</v>
      </c>
      <c r="S456" s="307">
        <f t="shared" ca="1" si="224"/>
        <v>7.9769999999999968</v>
      </c>
      <c r="T456" s="304">
        <f t="shared" ca="1" si="204"/>
        <v>78.254369999999966</v>
      </c>
      <c r="U456" s="311">
        <f t="shared" ca="1" si="205"/>
        <v>0</v>
      </c>
      <c r="V456" s="306">
        <f t="shared" ca="1" si="206"/>
        <v>1.1423185311689028</v>
      </c>
      <c r="W456" s="304">
        <f t="shared" ca="1" si="207"/>
        <v>35.489552004624308</v>
      </c>
      <c r="Y456" s="314" t="str">
        <f t="shared" ca="1" si="225"/>
        <v/>
      </c>
      <c r="Z456" s="315" t="str">
        <f t="shared" ca="1" si="226"/>
        <v/>
      </c>
      <c r="AA456" s="316" t="str">
        <f t="shared" ca="1" si="227"/>
        <v/>
      </c>
      <c r="AC456" s="310" t="e">
        <f t="shared" ca="1" si="228"/>
        <v>#N/A</v>
      </c>
      <c r="AD456" s="323" t="e">
        <f t="shared" ca="1" si="229"/>
        <v>#N/A</v>
      </c>
      <c r="AE456" s="324" t="e">
        <f t="shared" ca="1" si="208"/>
        <v>#N/A</v>
      </c>
      <c r="AG456" s="306">
        <f t="shared" ca="1" si="230"/>
        <v>5.2616252605963565</v>
      </c>
      <c r="AH456" s="304">
        <f t="shared" ca="1" si="231"/>
        <v>-4.3966326051273503</v>
      </c>
    </row>
    <row r="457" spans="1:34" x14ac:dyDescent="0.2">
      <c r="A457" s="347">
        <f t="shared" ca="1" si="209"/>
        <v>0.1</v>
      </c>
      <c r="B457" s="304">
        <f t="shared" ca="1" si="210"/>
        <v>27.300000000000122</v>
      </c>
      <c r="D457" s="306">
        <f t="shared" ca="1" si="211"/>
        <v>-0.77172241760108529</v>
      </c>
      <c r="E457" s="307">
        <f t="shared" ca="1" si="212"/>
        <v>-5.4284579717557602</v>
      </c>
      <c r="F457" s="304">
        <f t="shared" ca="1" si="213"/>
        <v>5.4830385226575533</v>
      </c>
      <c r="G457" s="306">
        <f t="shared" ca="1" si="214"/>
        <v>16.745307819759073</v>
      </c>
      <c r="H457" s="307">
        <f t="shared" ca="1" si="215"/>
        <v>-96.054394675036448</v>
      </c>
      <c r="I457" s="304">
        <f t="shared" ca="1" si="216"/>
        <v>97.50308749145411</v>
      </c>
      <c r="J457" s="306">
        <f t="shared" ca="1" si="217"/>
        <v>665.63631384412815</v>
      </c>
      <c r="K457" s="307">
        <f t="shared" ca="1" si="218"/>
        <v>688.94594231514498</v>
      </c>
      <c r="L457" s="304">
        <f t="shared" ca="1" si="203"/>
        <v>957.97610290680097</v>
      </c>
      <c r="M457" s="306">
        <f t="shared" ca="1" si="219"/>
        <v>-1.3981993581637406</v>
      </c>
      <c r="N457" s="304">
        <f t="shared" ca="1" si="220"/>
        <v>-80.110922140682902</v>
      </c>
      <c r="P457" s="310">
        <f t="shared" ca="1" si="221"/>
        <v>23</v>
      </c>
      <c r="Q457" s="304">
        <f t="shared" ca="1" si="222"/>
        <v>0</v>
      </c>
      <c r="R457" s="306">
        <f t="shared" ca="1" si="223"/>
        <v>0</v>
      </c>
      <c r="S457" s="307">
        <f t="shared" ca="1" si="224"/>
        <v>7.9769999999999968</v>
      </c>
      <c r="T457" s="304">
        <f t="shared" ca="1" si="204"/>
        <v>78.254369999999966</v>
      </c>
      <c r="U457" s="311">
        <f t="shared" ca="1" si="205"/>
        <v>0</v>
      </c>
      <c r="V457" s="306">
        <f t="shared" ca="1" si="206"/>
        <v>1.1434145212917879</v>
      </c>
      <c r="W457" s="304">
        <f t="shared" ca="1" si="207"/>
        <v>35.906582521139647</v>
      </c>
      <c r="Y457" s="314" t="str">
        <f t="shared" ca="1" si="225"/>
        <v/>
      </c>
      <c r="Z457" s="315" t="str">
        <f t="shared" ca="1" si="226"/>
        <v/>
      </c>
      <c r="AA457" s="316" t="str">
        <f t="shared" ca="1" si="227"/>
        <v/>
      </c>
      <c r="AC457" s="310" t="e">
        <f t="shared" ca="1" si="228"/>
        <v>#N/A</v>
      </c>
      <c r="AD457" s="323" t="e">
        <f t="shared" ca="1" si="229"/>
        <v>#N/A</v>
      </c>
      <c r="AE457" s="324" t="e">
        <f t="shared" ca="1" si="208"/>
        <v>#N/A</v>
      </c>
      <c r="AG457" s="306">
        <f t="shared" ca="1" si="230"/>
        <v>5.2123039609710879</v>
      </c>
      <c r="AH457" s="304">
        <f t="shared" ca="1" si="231"/>
        <v>-4.4489848319699536</v>
      </c>
    </row>
    <row r="458" spans="1:34" x14ac:dyDescent="0.2">
      <c r="A458" s="347">
        <f t="shared" ca="1" si="209"/>
        <v>0.1</v>
      </c>
      <c r="B458" s="304">
        <f t="shared" ca="1" si="210"/>
        <v>27.400000000000123</v>
      </c>
      <c r="D458" s="306">
        <f t="shared" ca="1" si="211"/>
        <v>-0.7730529600975532</v>
      </c>
      <c r="E458" s="307">
        <f t="shared" ca="1" si="212"/>
        <v>-5.3756154587796683</v>
      </c>
      <c r="F458" s="304">
        <f t="shared" ca="1" si="213"/>
        <v>5.430916353598767</v>
      </c>
      <c r="G458" s="306">
        <f t="shared" ca="1" si="214"/>
        <v>16.668002523749319</v>
      </c>
      <c r="H458" s="307">
        <f t="shared" ca="1" si="215"/>
        <v>-96.591956220914412</v>
      </c>
      <c r="I458" s="304">
        <f t="shared" ca="1" si="216"/>
        <v>98.01953027185327</v>
      </c>
      <c r="J458" s="306">
        <f t="shared" ca="1" si="217"/>
        <v>667.30697936130355</v>
      </c>
      <c r="K458" s="307">
        <f t="shared" ca="1" si="218"/>
        <v>679.31362477034747</v>
      </c>
      <c r="L458" s="304">
        <f t="shared" ca="1" si="203"/>
        <v>952.24240900252687</v>
      </c>
      <c r="M458" s="306">
        <f t="shared" ca="1" si="219"/>
        <v>-1.3999181820148652</v>
      </c>
      <c r="N458" s="304">
        <f t="shared" ca="1" si="220"/>
        <v>-80.209403493078767</v>
      </c>
      <c r="P458" s="310">
        <f t="shared" ca="1" si="221"/>
        <v>23</v>
      </c>
      <c r="Q458" s="304">
        <f t="shared" ca="1" si="222"/>
        <v>0</v>
      </c>
      <c r="R458" s="306">
        <f t="shared" ca="1" si="223"/>
        <v>0</v>
      </c>
      <c r="S458" s="307">
        <f t="shared" ca="1" si="224"/>
        <v>7.9769999999999968</v>
      </c>
      <c r="T458" s="304">
        <f t="shared" ca="1" si="204"/>
        <v>78.254369999999966</v>
      </c>
      <c r="U458" s="311">
        <f t="shared" ca="1" si="205"/>
        <v>0</v>
      </c>
      <c r="V458" s="306">
        <f t="shared" ca="1" si="206"/>
        <v>1.144517716550622</v>
      </c>
      <c r="W458" s="304">
        <f t="shared" ca="1" si="207"/>
        <v>36.322972866002424</v>
      </c>
      <c r="Y458" s="314" t="str">
        <f t="shared" ca="1" si="225"/>
        <v/>
      </c>
      <c r="Z458" s="315" t="str">
        <f t="shared" ca="1" si="226"/>
        <v/>
      </c>
      <c r="AA458" s="316" t="str">
        <f t="shared" ca="1" si="227"/>
        <v/>
      </c>
      <c r="AC458" s="310" t="e">
        <f t="shared" ca="1" si="228"/>
        <v>#N/A</v>
      </c>
      <c r="AD458" s="323" t="e">
        <f t="shared" ca="1" si="229"/>
        <v>#N/A</v>
      </c>
      <c r="AE458" s="324" t="e">
        <f t="shared" ca="1" si="208"/>
        <v>#N/A</v>
      </c>
      <c r="AG458" s="306">
        <f t="shared" ca="1" si="230"/>
        <v>5.1629798816900241</v>
      </c>
      <c r="AH458" s="304">
        <f t="shared" ca="1" si="231"/>
        <v>-4.5012639489958204</v>
      </c>
    </row>
    <row r="459" spans="1:34" x14ac:dyDescent="0.2">
      <c r="A459" s="347">
        <f t="shared" ca="1" si="209"/>
        <v>0.1</v>
      </c>
      <c r="B459" s="304">
        <f t="shared" ca="1" si="210"/>
        <v>27.500000000000124</v>
      </c>
      <c r="D459" s="306">
        <f t="shared" ca="1" si="211"/>
        <v>-0.7743061965547855</v>
      </c>
      <c r="E459" s="307">
        <f t="shared" ca="1" si="212"/>
        <v>-5.3228546367427079</v>
      </c>
      <c r="F459" s="304">
        <f t="shared" ca="1" si="213"/>
        <v>5.378878281753221</v>
      </c>
      <c r="G459" s="306">
        <f t="shared" ca="1" si="214"/>
        <v>16.590571904093842</v>
      </c>
      <c r="H459" s="307">
        <f t="shared" ca="1" si="215"/>
        <v>-97.124241684588682</v>
      </c>
      <c r="I459" s="304">
        <f t="shared" ca="1" si="216"/>
        <v>98.531037744008884</v>
      </c>
      <c r="J459" s="306">
        <f t="shared" ca="1" si="217"/>
        <v>668.96990808269572</v>
      </c>
      <c r="K459" s="307">
        <f t="shared" ca="1" si="218"/>
        <v>669.62781487507232</v>
      </c>
      <c r="L459" s="304">
        <f t="shared" ca="1" si="203"/>
        <v>946.53164150731618</v>
      </c>
      <c r="M459" s="306">
        <f t="shared" ca="1" si="219"/>
        <v>-1.4016112215456424</v>
      </c>
      <c r="N459" s="304">
        <f t="shared" ca="1" si="220"/>
        <v>-80.306407512741103</v>
      </c>
      <c r="P459" s="310">
        <f t="shared" ca="1" si="221"/>
        <v>23</v>
      </c>
      <c r="Q459" s="304">
        <f t="shared" ca="1" si="222"/>
        <v>0</v>
      </c>
      <c r="R459" s="306">
        <f t="shared" ca="1" si="223"/>
        <v>0</v>
      </c>
      <c r="S459" s="307">
        <f t="shared" ca="1" si="224"/>
        <v>7.9769999999999968</v>
      </c>
      <c r="T459" s="304">
        <f t="shared" ca="1" si="204"/>
        <v>78.254369999999966</v>
      </c>
      <c r="U459" s="311">
        <f t="shared" ca="1" si="205"/>
        <v>0</v>
      </c>
      <c r="V459" s="306">
        <f t="shared" ca="1" si="206"/>
        <v>1.1456280751091579</v>
      </c>
      <c r="W459" s="304">
        <f t="shared" ca="1" si="207"/>
        <v>36.738666983858586</v>
      </c>
      <c r="Y459" s="314" t="str">
        <f t="shared" ca="1" si="225"/>
        <v/>
      </c>
      <c r="Z459" s="315" t="str">
        <f t="shared" ca="1" si="226"/>
        <v/>
      </c>
      <c r="AA459" s="316" t="str">
        <f t="shared" ca="1" si="227"/>
        <v/>
      </c>
      <c r="AC459" s="310" t="e">
        <f t="shared" ca="1" si="228"/>
        <v>#N/A</v>
      </c>
      <c r="AD459" s="323" t="e">
        <f t="shared" ca="1" si="229"/>
        <v>#N/A</v>
      </c>
      <c r="AE459" s="324" t="e">
        <f t="shared" ca="1" si="208"/>
        <v>#N/A</v>
      </c>
      <c r="AG459" s="306">
        <f t="shared" ca="1" si="230"/>
        <v>5.1136625835080736</v>
      </c>
      <c r="AH459" s="304">
        <f t="shared" ca="1" si="231"/>
        <v>-4.5534628138400954</v>
      </c>
    </row>
    <row r="460" spans="1:34" x14ac:dyDescent="0.2">
      <c r="A460" s="347">
        <f t="shared" ca="1" si="209"/>
        <v>0.1</v>
      </c>
      <c r="B460" s="304">
        <f t="shared" ca="1" si="210"/>
        <v>27.600000000000126</v>
      </c>
      <c r="D460" s="306">
        <f t="shared" ca="1" si="211"/>
        <v>-0.77548268019964894</v>
      </c>
      <c r="E460" s="307">
        <f t="shared" ca="1" si="212"/>
        <v>-5.2701825850658022</v>
      </c>
      <c r="F460" s="304">
        <f t="shared" ca="1" si="213"/>
        <v>5.3269313743674687</v>
      </c>
      <c r="G460" s="306">
        <f t="shared" ca="1" si="214"/>
        <v>16.513023636073878</v>
      </c>
      <c r="H460" s="307">
        <f t="shared" ca="1" si="215"/>
        <v>-97.651259943095269</v>
      </c>
      <c r="I460" s="304">
        <f t="shared" ca="1" si="216"/>
        <v>99.037611633558171</v>
      </c>
      <c r="J460" s="306">
        <f t="shared" ca="1" si="217"/>
        <v>670.62508785970408</v>
      </c>
      <c r="K460" s="307">
        <f t="shared" ca="1" si="218"/>
        <v>659.88903979368808</v>
      </c>
      <c r="L460" s="304">
        <f t="shared" ca="1" si="203"/>
        <v>940.84619003675175</v>
      </c>
      <c r="M460" s="306">
        <f t="shared" ca="1" si="219"/>
        <v>-1.4032790729328968</v>
      </c>
      <c r="N460" s="304">
        <f t="shared" ca="1" si="220"/>
        <v>-80.401968358085824</v>
      </c>
      <c r="P460" s="310">
        <f t="shared" ca="1" si="221"/>
        <v>23</v>
      </c>
      <c r="Q460" s="304">
        <f t="shared" ca="1" si="222"/>
        <v>0</v>
      </c>
      <c r="R460" s="306">
        <f t="shared" ca="1" si="223"/>
        <v>0</v>
      </c>
      <c r="S460" s="307">
        <f t="shared" ca="1" si="224"/>
        <v>7.9769999999999968</v>
      </c>
      <c r="T460" s="304">
        <f t="shared" ca="1" si="204"/>
        <v>78.254369999999966</v>
      </c>
      <c r="U460" s="311">
        <f t="shared" ca="1" si="205"/>
        <v>0</v>
      </c>
      <c r="V460" s="306">
        <f t="shared" ca="1" si="206"/>
        <v>1.1467455551488925</v>
      </c>
      <c r="W460" s="304">
        <f t="shared" ca="1" si="207"/>
        <v>37.153609744638104</v>
      </c>
      <c r="Y460" s="314" t="str">
        <f t="shared" ca="1" si="225"/>
        <v/>
      </c>
      <c r="Z460" s="315" t="str">
        <f t="shared" ca="1" si="226"/>
        <v/>
      </c>
      <c r="AA460" s="316" t="str">
        <f t="shared" ca="1" si="227"/>
        <v/>
      </c>
      <c r="AC460" s="310" t="e">
        <f t="shared" ca="1" si="228"/>
        <v>#N/A</v>
      </c>
      <c r="AD460" s="323" t="e">
        <f t="shared" ca="1" si="229"/>
        <v>#N/A</v>
      </c>
      <c r="AE460" s="324" t="e">
        <f t="shared" ca="1" si="208"/>
        <v>#N/A</v>
      </c>
      <c r="AG460" s="306">
        <f t="shared" ca="1" si="230"/>
        <v>5.0643614172017655</v>
      </c>
      <c r="AH460" s="304">
        <f t="shared" ca="1" si="231"/>
        <v>-4.6055743993805445</v>
      </c>
    </row>
    <row r="461" spans="1:34" x14ac:dyDescent="0.2">
      <c r="A461" s="347">
        <f t="shared" ca="1" si="209"/>
        <v>0.1</v>
      </c>
      <c r="B461" s="304">
        <f t="shared" ca="1" si="210"/>
        <v>27.700000000000127</v>
      </c>
      <c r="D461" s="306">
        <f t="shared" ca="1" si="211"/>
        <v>-0.77658297813311306</v>
      </c>
      <c r="E461" s="307">
        <f t="shared" ca="1" si="212"/>
        <v>-5.2176062666443306</v>
      </c>
      <c r="F461" s="304">
        <f t="shared" ca="1" si="213"/>
        <v>5.2750825847234166</v>
      </c>
      <c r="G461" s="306">
        <f t="shared" ca="1" si="214"/>
        <v>16.435365338260567</v>
      </c>
      <c r="H461" s="307">
        <f t="shared" ca="1" si="215"/>
        <v>-98.1730205697597</v>
      </c>
      <c r="I461" s="304">
        <f t="shared" ca="1" si="216"/>
        <v>99.539254576235194</v>
      </c>
      <c r="J461" s="306">
        <f t="shared" ca="1" si="217"/>
        <v>672.27250730842081</v>
      </c>
      <c r="K461" s="307">
        <f t="shared" ca="1" si="218"/>
        <v>650.09782576804537</v>
      </c>
      <c r="L461" s="304">
        <f t="shared" ca="1" si="203"/>
        <v>935.18848749922631</v>
      </c>
      <c r="M461" s="306">
        <f t="shared" ca="1" si="219"/>
        <v>-1.4049223139346374</v>
      </c>
      <c r="N461" s="304">
        <f t="shared" ca="1" si="220"/>
        <v>-80.496119132208406</v>
      </c>
      <c r="P461" s="310">
        <f t="shared" ca="1" si="221"/>
        <v>23</v>
      </c>
      <c r="Q461" s="304">
        <f t="shared" ca="1" si="222"/>
        <v>0</v>
      </c>
      <c r="R461" s="306">
        <f t="shared" ca="1" si="223"/>
        <v>0</v>
      </c>
      <c r="S461" s="307">
        <f t="shared" ca="1" si="224"/>
        <v>7.9769999999999968</v>
      </c>
      <c r="T461" s="304">
        <f t="shared" ca="1" si="204"/>
        <v>78.254369999999966</v>
      </c>
      <c r="U461" s="311">
        <f t="shared" ca="1" si="205"/>
        <v>0</v>
      </c>
      <c r="V461" s="306">
        <f t="shared" ca="1" si="206"/>
        <v>1.1478701148745054</v>
      </c>
      <c r="W461" s="304">
        <f t="shared" ca="1" si="207"/>
        <v>37.567746948989473</v>
      </c>
      <c r="Y461" s="314" t="str">
        <f t="shared" ca="1" si="225"/>
        <v/>
      </c>
      <c r="Z461" s="315" t="str">
        <f t="shared" ca="1" si="226"/>
        <v/>
      </c>
      <c r="AA461" s="316" t="str">
        <f t="shared" ca="1" si="227"/>
        <v/>
      </c>
      <c r="AC461" s="310" t="e">
        <f t="shared" ca="1" si="228"/>
        <v>#N/A</v>
      </c>
      <c r="AD461" s="323" t="e">
        <f t="shared" ca="1" si="229"/>
        <v>#N/A</v>
      </c>
      <c r="AE461" s="324" t="e">
        <f t="shared" ca="1" si="208"/>
        <v>#N/A</v>
      </c>
      <c r="AG461" s="306">
        <f t="shared" ca="1" si="230"/>
        <v>5.0150855271960779</v>
      </c>
      <c r="AH461" s="304">
        <f t="shared" ca="1" si="231"/>
        <v>-4.6575917944889209</v>
      </c>
    </row>
    <row r="462" spans="1:34" x14ac:dyDescent="0.2">
      <c r="A462" s="347">
        <f t="shared" ca="1" si="209"/>
        <v>0.1</v>
      </c>
      <c r="B462" s="304">
        <f t="shared" ca="1" si="210"/>
        <v>27.800000000000129</v>
      </c>
      <c r="D462" s="306">
        <f t="shared" ca="1" si="211"/>
        <v>-0.77760767083804261</v>
      </c>
      <c r="E462" s="307">
        <f t="shared" ca="1" si="212"/>
        <v>-5.16513252713216</v>
      </c>
      <c r="F462" s="304">
        <f t="shared" ca="1" si="213"/>
        <v>5.2233387514677636</v>
      </c>
      <c r="G462" s="306">
        <f t="shared" ca="1" si="214"/>
        <v>16.357604571176761</v>
      </c>
      <c r="H462" s="307">
        <f t="shared" ca="1" si="215"/>
        <v>-98.68953382247291</v>
      </c>
      <c r="I462" s="304">
        <f t="shared" ca="1" si="216"/>
        <v>100.03597009778036</v>
      </c>
      <c r="J462" s="306">
        <f t="shared" ca="1" si="217"/>
        <v>673.91215580389269</v>
      </c>
      <c r="K462" s="307">
        <f t="shared" ca="1" si="218"/>
        <v>640.25469804843374</v>
      </c>
      <c r="L462" s="304">
        <f t="shared" ca="1" si="203"/>
        <v>929.56101043091371</v>
      </c>
      <c r="M462" s="306">
        <f t="shared" ca="1" si="219"/>
        <v>-1.4065415045846967</v>
      </c>
      <c r="N462" s="304">
        <f t="shared" ca="1" si="220"/>
        <v>-80.588891922683857</v>
      </c>
      <c r="P462" s="310">
        <f t="shared" ca="1" si="221"/>
        <v>23</v>
      </c>
      <c r="Q462" s="304">
        <f t="shared" ca="1" si="222"/>
        <v>0</v>
      </c>
      <c r="R462" s="306">
        <f t="shared" ca="1" si="223"/>
        <v>0</v>
      </c>
      <c r="S462" s="307">
        <f t="shared" ca="1" si="224"/>
        <v>7.9769999999999968</v>
      </c>
      <c r="T462" s="304">
        <f t="shared" ca="1" si="204"/>
        <v>78.254369999999966</v>
      </c>
      <c r="U462" s="311">
        <f t="shared" ca="1" si="205"/>
        <v>0</v>
      </c>
      <c r="V462" s="306">
        <f t="shared" ca="1" si="206"/>
        <v>1.1490017125192271</v>
      </c>
      <c r="W462" s="304">
        <f t="shared" ca="1" si="207"/>
        <v>37.98102533316252</v>
      </c>
      <c r="Y462" s="314" t="str">
        <f t="shared" ca="1" si="225"/>
        <v/>
      </c>
      <c r="Z462" s="315" t="str">
        <f t="shared" ca="1" si="226"/>
        <v/>
      </c>
      <c r="AA462" s="316" t="str">
        <f t="shared" ca="1" si="227"/>
        <v/>
      </c>
      <c r="AC462" s="310" t="e">
        <f t="shared" ca="1" si="228"/>
        <v>#N/A</v>
      </c>
      <c r="AD462" s="323" t="e">
        <f t="shared" ca="1" si="229"/>
        <v>#N/A</v>
      </c>
      <c r="AE462" s="324" t="e">
        <f t="shared" ca="1" si="208"/>
        <v>#N/A</v>
      </c>
      <c r="AG462" s="306">
        <f t="shared" ca="1" si="230"/>
        <v>4.9658438550295871</v>
      </c>
      <c r="AH462" s="304">
        <f t="shared" ca="1" si="231"/>
        <v>-4.7095082047122334</v>
      </c>
    </row>
    <row r="463" spans="1:34" x14ac:dyDescent="0.2">
      <c r="A463" s="347">
        <f t="shared" ca="1" si="209"/>
        <v>0.1</v>
      </c>
      <c r="B463" s="304">
        <f t="shared" ca="1" si="210"/>
        <v>27.90000000000013</v>
      </c>
      <c r="D463" s="306">
        <f t="shared" ca="1" si="211"/>
        <v>-0.77855735169262841</v>
      </c>
      <c r="E463" s="307">
        <f t="shared" ca="1" si="212"/>
        <v>-5.112768094297012</v>
      </c>
      <c r="F463" s="304">
        <f t="shared" ca="1" si="213"/>
        <v>5.1717065980134773</v>
      </c>
      <c r="G463" s="306">
        <f t="shared" ca="1" si="214"/>
        <v>16.279748836007499</v>
      </c>
      <c r="H463" s="307">
        <f t="shared" ca="1" si="215"/>
        <v>-99.200810631902613</v>
      </c>
      <c r="I463" s="304">
        <f t="shared" ca="1" si="216"/>
        <v>100.52776259417142</v>
      </c>
      <c r="J463" s="306">
        <f t="shared" ca="1" si="217"/>
        <v>675.54402347425184</v>
      </c>
      <c r="K463" s="307">
        <f t="shared" ca="1" si="218"/>
        <v>630.36018082571491</v>
      </c>
      <c r="L463" s="304">
        <f t="shared" ca="1" si="203"/>
        <v>923.96627926694839</v>
      </c>
      <c r="M463" s="306">
        <f t="shared" ca="1" si="219"/>
        <v>-1.4081371878566471</v>
      </c>
      <c r="N463" s="304">
        <f t="shared" ca="1" si="220"/>
        <v>-80.680317839606232</v>
      </c>
      <c r="P463" s="310">
        <f t="shared" ca="1" si="221"/>
        <v>23</v>
      </c>
      <c r="Q463" s="304">
        <f t="shared" ca="1" si="222"/>
        <v>0</v>
      </c>
      <c r="R463" s="306">
        <f t="shared" ca="1" si="223"/>
        <v>0</v>
      </c>
      <c r="S463" s="307">
        <f t="shared" ca="1" si="224"/>
        <v>7.9769999999999968</v>
      </c>
      <c r="T463" s="304">
        <f t="shared" ca="1" si="204"/>
        <v>78.254369999999966</v>
      </c>
      <c r="U463" s="311">
        <f t="shared" ca="1" si="205"/>
        <v>0</v>
      </c>
      <c r="V463" s="306">
        <f t="shared" ca="1" si="206"/>
        <v>1.1501403063501343</v>
      </c>
      <c r="W463" s="304">
        <f t="shared" ca="1" si="207"/>
        <v>38.393392573347136</v>
      </c>
      <c r="Y463" s="314" t="str">
        <f t="shared" ca="1" si="225"/>
        <v/>
      </c>
      <c r="Z463" s="315" t="str">
        <f t="shared" ca="1" si="226"/>
        <v/>
      </c>
      <c r="AA463" s="316" t="str">
        <f t="shared" ca="1" si="227"/>
        <v/>
      </c>
      <c r="AC463" s="310" t="e">
        <f t="shared" ca="1" si="228"/>
        <v>#N/A</v>
      </c>
      <c r="AD463" s="323" t="e">
        <f t="shared" ca="1" si="229"/>
        <v>#N/A</v>
      </c>
      <c r="AE463" s="324" t="e">
        <f t="shared" ca="1" si="208"/>
        <v>#N/A</v>
      </c>
      <c r="AG463" s="306">
        <f t="shared" ca="1" si="230"/>
        <v>4.9166451426708138</v>
      </c>
      <c r="AH463" s="304">
        <f t="shared" ca="1" si="231"/>
        <v>-4.7613169528848607</v>
      </c>
    </row>
    <row r="464" spans="1:34" x14ac:dyDescent="0.2">
      <c r="A464" s="347">
        <f t="shared" ca="1" si="209"/>
        <v>0.1</v>
      </c>
      <c r="B464" s="304">
        <f t="shared" ca="1" si="210"/>
        <v>28.000000000000131</v>
      </c>
      <c r="D464" s="306">
        <f t="shared" ca="1" si="211"/>
        <v>-0.77943262648950429</v>
      </c>
      <c r="E464" s="307">
        <f t="shared" ca="1" si="212"/>
        <v>-5.0605195774461311</v>
      </c>
      <c r="F464" s="304">
        <f t="shared" ca="1" si="213"/>
        <v>5.120192732012331</v>
      </c>
      <c r="G464" s="306">
        <f t="shared" ca="1" si="214"/>
        <v>16.201805573358548</v>
      </c>
      <c r="H464" s="307">
        <f t="shared" ca="1" si="215"/>
        <v>-99.70686258964723</v>
      </c>
      <c r="I464" s="304">
        <f t="shared" ca="1" si="216"/>
        <v>101.01463731216236</v>
      </c>
      <c r="J464" s="306">
        <f t="shared" ca="1" si="217"/>
        <v>677.16810119472018</v>
      </c>
      <c r="K464" s="307">
        <f t="shared" ca="1" si="218"/>
        <v>620.41479716463743</v>
      </c>
      <c r="L464" s="304">
        <f t="shared" ca="1" si="203"/>
        <v>918.40685854173637</v>
      </c>
      <c r="M464" s="306">
        <f t="shared" ca="1" si="219"/>
        <v>-1.4097098902985528</v>
      </c>
      <c r="N464" s="304">
        <f t="shared" ca="1" si="220"/>
        <v>-80.770427051957341</v>
      </c>
      <c r="P464" s="310">
        <f t="shared" ca="1" si="221"/>
        <v>23</v>
      </c>
      <c r="Q464" s="304">
        <f t="shared" ca="1" si="222"/>
        <v>0</v>
      </c>
      <c r="R464" s="306">
        <f t="shared" ca="1" si="223"/>
        <v>0</v>
      </c>
      <c r="S464" s="307">
        <f t="shared" ca="1" si="224"/>
        <v>7.9769999999999968</v>
      </c>
      <c r="T464" s="304">
        <f t="shared" ca="1" si="204"/>
        <v>78.254369999999966</v>
      </c>
      <c r="U464" s="311">
        <f t="shared" ca="1" si="205"/>
        <v>0</v>
      </c>
      <c r="V464" s="306">
        <f t="shared" ca="1" si="206"/>
        <v>1.1512858546733811</v>
      </c>
      <c r="W464" s="304">
        <f t="shared" ca="1" si="207"/>
        <v>38.80479728947634</v>
      </c>
      <c r="Y464" s="314" t="str">
        <f t="shared" ca="1" si="225"/>
        <v/>
      </c>
      <c r="Z464" s="315" t="str">
        <f t="shared" ca="1" si="226"/>
        <v/>
      </c>
      <c r="AA464" s="316" t="str">
        <f t="shared" ca="1" si="227"/>
        <v/>
      </c>
      <c r="AC464" s="310">
        <f t="shared" ca="1" si="228"/>
        <v>28.000000000000131</v>
      </c>
      <c r="AD464" s="323">
        <f t="shared" ca="1" si="229"/>
        <v>677.16810119472018</v>
      </c>
      <c r="AE464" s="324" t="e">
        <f t="shared" ca="1" si="208"/>
        <v>#N/A</v>
      </c>
      <c r="AG464" s="306">
        <f t="shared" ca="1" si="230"/>
        <v>4.867497935697628</v>
      </c>
      <c r="AH464" s="304">
        <f t="shared" ca="1" si="231"/>
        <v>-4.8130114796724524</v>
      </c>
    </row>
    <row r="465" spans="1:34" x14ac:dyDescent="0.2">
      <c r="A465" s="347">
        <f t="shared" ca="1" si="209"/>
        <v>0.1</v>
      </c>
      <c r="B465" s="304">
        <f t="shared" ca="1" si="210"/>
        <v>28.100000000000133</v>
      </c>
      <c r="D465" s="306">
        <f t="shared" ca="1" si="211"/>
        <v>-0.7802341129605459</v>
      </c>
      <c r="E465" s="307">
        <f t="shared" ca="1" si="212"/>
        <v>-5.0083934669211052</v>
      </c>
      <c r="F465" s="304">
        <f t="shared" ca="1" si="213"/>
        <v>5.0688036448974172</v>
      </c>
      <c r="G465" s="306">
        <f t="shared" ca="1" si="214"/>
        <v>16.123782162062493</v>
      </c>
      <c r="H465" s="307">
        <f t="shared" ca="1" si="215"/>
        <v>-100.20770193633933</v>
      </c>
      <c r="I465" s="304">
        <f t="shared" ca="1" si="216"/>
        <v>101.4966003301188</v>
      </c>
      <c r="J465" s="306">
        <f t="shared" ca="1" si="217"/>
        <v>678.78438058149118</v>
      </c>
      <c r="K465" s="307">
        <f t="shared" ca="1" si="218"/>
        <v>610.41906893833811</v>
      </c>
      <c r="L465" s="304">
        <f t="shared" ca="1" si="203"/>
        <v>912.8853570109153</v>
      </c>
      <c r="M465" s="306">
        <f t="shared" ca="1" si="219"/>
        <v>-1.4112601226400152</v>
      </c>
      <c r="N465" s="304">
        <f t="shared" ca="1" si="220"/>
        <v>-80.859248822387826</v>
      </c>
      <c r="P465" s="310">
        <f t="shared" ca="1" si="221"/>
        <v>23</v>
      </c>
      <c r="Q465" s="304">
        <f t="shared" ca="1" si="222"/>
        <v>0</v>
      </c>
      <c r="R465" s="306">
        <f t="shared" ca="1" si="223"/>
        <v>0</v>
      </c>
      <c r="S465" s="307">
        <f t="shared" ca="1" si="224"/>
        <v>7.9769999999999968</v>
      </c>
      <c r="T465" s="304">
        <f t="shared" ca="1" si="204"/>
        <v>78.254369999999966</v>
      </c>
      <c r="U465" s="311">
        <f t="shared" ca="1" si="205"/>
        <v>0</v>
      </c>
      <c r="V465" s="306">
        <f t="shared" ca="1" si="206"/>
        <v>1.1524383158393505</v>
      </c>
      <c r="W465" s="304">
        <f t="shared" ca="1" si="207"/>
        <v>39.2151890485016</v>
      </c>
      <c r="Y465" s="314" t="str">
        <f t="shared" ca="1" si="225"/>
        <v/>
      </c>
      <c r="Z465" s="315" t="str">
        <f t="shared" ca="1" si="226"/>
        <v/>
      </c>
      <c r="AA465" s="316" t="str">
        <f t="shared" ca="1" si="227"/>
        <v/>
      </c>
      <c r="AC465" s="310" t="e">
        <f t="shared" ca="1" si="228"/>
        <v>#N/A</v>
      </c>
      <c r="AD465" s="323" t="e">
        <f t="shared" ca="1" si="229"/>
        <v>#N/A</v>
      </c>
      <c r="AE465" s="324" t="e">
        <f t="shared" ca="1" si="208"/>
        <v>#N/A</v>
      </c>
      <c r="AG465" s="306">
        <f t="shared" ca="1" si="230"/>
        <v>4.8184105863507121</v>
      </c>
      <c r="AH465" s="304">
        <f t="shared" ca="1" si="231"/>
        <v>-4.8645853440486846</v>
      </c>
    </row>
    <row r="466" spans="1:34" x14ac:dyDescent="0.2">
      <c r="A466" s="347">
        <f t="shared" ca="1" si="209"/>
        <v>0.1</v>
      </c>
      <c r="B466" s="304">
        <f t="shared" ca="1" si="210"/>
        <v>28.200000000000134</v>
      </c>
      <c r="D466" s="306">
        <f t="shared" ca="1" si="211"/>
        <v>-0.78096244030738526</v>
      </c>
      <c r="E466" s="307">
        <f t="shared" ca="1" si="212"/>
        <v>-4.9563961336607338</v>
      </c>
      <c r="F466" s="304">
        <f t="shared" ca="1" si="213"/>
        <v>5.0175457114946083</v>
      </c>
      <c r="G466" s="306">
        <f t="shared" ca="1" si="214"/>
        <v>16.045685918031754</v>
      </c>
      <c r="H466" s="307">
        <f t="shared" ca="1" si="215"/>
        <v>-100.70334154970541</v>
      </c>
      <c r="I466" s="304">
        <f t="shared" ca="1" si="216"/>
        <v>101.97365853913817</v>
      </c>
      <c r="J466" s="306">
        <f t="shared" ca="1" si="217"/>
        <v>680.39285398549589</v>
      </c>
      <c r="K466" s="307">
        <f t="shared" ca="1" si="218"/>
        <v>600.37351676403591</v>
      </c>
      <c r="L466" s="304">
        <f t="shared" ca="1" si="203"/>
        <v>907.40442768709499</v>
      </c>
      <c r="M466" s="306">
        <f t="shared" ca="1" si="219"/>
        <v>-1.4127883803728956</v>
      </c>
      <c r="N466" s="304">
        <f t="shared" ca="1" si="220"/>
        <v>-80.946811540490103</v>
      </c>
      <c r="P466" s="310">
        <f t="shared" ca="1" si="221"/>
        <v>23</v>
      </c>
      <c r="Q466" s="304">
        <f t="shared" ca="1" si="222"/>
        <v>0</v>
      </c>
      <c r="R466" s="306">
        <f t="shared" ca="1" si="223"/>
        <v>0</v>
      </c>
      <c r="S466" s="307">
        <f t="shared" ca="1" si="224"/>
        <v>7.9769999999999968</v>
      </c>
      <c r="T466" s="304">
        <f t="shared" ca="1" si="204"/>
        <v>78.254369999999966</v>
      </c>
      <c r="U466" s="311">
        <f t="shared" ca="1" si="205"/>
        <v>0</v>
      </c>
      <c r="V466" s="306">
        <f t="shared" ca="1" si="206"/>
        <v>1.1535976482477417</v>
      </c>
      <c r="W466" s="304">
        <f t="shared" ca="1" si="207"/>
        <v>39.624518367149328</v>
      </c>
      <c r="Y466" s="314" t="str">
        <f t="shared" ca="1" si="225"/>
        <v/>
      </c>
      <c r="Z466" s="315" t="str">
        <f t="shared" ca="1" si="226"/>
        <v/>
      </c>
      <c r="AA466" s="316" t="str">
        <f t="shared" ca="1" si="227"/>
        <v/>
      </c>
      <c r="AC466" s="310" t="e">
        <f t="shared" ca="1" si="228"/>
        <v>#N/A</v>
      </c>
      <c r="AD466" s="323" t="e">
        <f t="shared" ca="1" si="229"/>
        <v>#N/A</v>
      </c>
      <c r="AE466" s="324" t="e">
        <f t="shared" ca="1" si="208"/>
        <v>#N/A</v>
      </c>
      <c r="AG466" s="306">
        <f t="shared" ca="1" si="230"/>
        <v>4.769391256471299</v>
      </c>
      <c r="AH466" s="304">
        <f t="shared" ca="1" si="231"/>
        <v>-4.916032223705856</v>
      </c>
    </row>
    <row r="467" spans="1:34" x14ac:dyDescent="0.2">
      <c r="A467" s="347">
        <f t="shared" ca="1" si="209"/>
        <v>0.1</v>
      </c>
      <c r="B467" s="304">
        <f t="shared" ca="1" si="210"/>
        <v>28.300000000000136</v>
      </c>
      <c r="D467" s="306">
        <f t="shared" ca="1" si="211"/>
        <v>-0.78161824873766172</v>
      </c>
      <c r="E467" s="307">
        <f t="shared" ca="1" si="212"/>
        <v>-4.9045338288307656</v>
      </c>
      <c r="F467" s="304">
        <f t="shared" ca="1" si="213"/>
        <v>4.9664251897018543</v>
      </c>
      <c r="G467" s="306">
        <f t="shared" ca="1" si="214"/>
        <v>15.967524093157989</v>
      </c>
      <c r="H467" s="307">
        <f t="shared" ca="1" si="215"/>
        <v>-101.19379493258849</v>
      </c>
      <c r="I467" s="304">
        <f t="shared" ca="1" si="216"/>
        <v>102.44581962444516</v>
      </c>
      <c r="J467" s="306">
        <f t="shared" ca="1" si="217"/>
        <v>681.99351448605535</v>
      </c>
      <c r="K467" s="307">
        <f t="shared" ca="1" si="218"/>
        <v>590.27865993992123</v>
      </c>
      <c r="L467" s="304">
        <f t="shared" ca="1" si="203"/>
        <v>901.9667677811143</v>
      </c>
      <c r="M467" s="306">
        <f t="shared" ca="1" si="219"/>
        <v>-1.4142951443070129</v>
      </c>
      <c r="N467" s="304">
        <f t="shared" ca="1" si="220"/>
        <v>-81.033142754637552</v>
      </c>
      <c r="P467" s="310">
        <f t="shared" ca="1" si="221"/>
        <v>23</v>
      </c>
      <c r="Q467" s="304">
        <f t="shared" ca="1" si="222"/>
        <v>0</v>
      </c>
      <c r="R467" s="306">
        <f t="shared" ca="1" si="223"/>
        <v>0</v>
      </c>
      <c r="S467" s="307">
        <f t="shared" ca="1" si="224"/>
        <v>7.9769999999999968</v>
      </c>
      <c r="T467" s="304">
        <f t="shared" ca="1" si="204"/>
        <v>78.254369999999966</v>
      </c>
      <c r="U467" s="311">
        <f t="shared" ca="1" si="205"/>
        <v>0</v>
      </c>
      <c r="V467" s="306">
        <f t="shared" ca="1" si="206"/>
        <v>1.1547638103525779</v>
      </c>
      <c r="W467" s="304">
        <f t="shared" ca="1" si="207"/>
        <v>40.03273671416693</v>
      </c>
      <c r="Y467" s="314" t="str">
        <f t="shared" ca="1" si="225"/>
        <v/>
      </c>
      <c r="Z467" s="315" t="str">
        <f t="shared" ca="1" si="226"/>
        <v/>
      </c>
      <c r="AA467" s="316" t="str">
        <f t="shared" ca="1" si="227"/>
        <v/>
      </c>
      <c r="AC467" s="310" t="e">
        <f t="shared" ca="1" si="228"/>
        <v>#N/A</v>
      </c>
      <c r="AD467" s="323" t="e">
        <f t="shared" ca="1" si="229"/>
        <v>#N/A</v>
      </c>
      <c r="AE467" s="324" t="e">
        <f t="shared" ca="1" si="208"/>
        <v>#N/A</v>
      </c>
      <c r="AG467" s="306">
        <f t="shared" ca="1" si="230"/>
        <v>4.7204479203326093</v>
      </c>
      <c r="AH467" s="304">
        <f t="shared" ca="1" si="231"/>
        <v>-4.9673459154004442</v>
      </c>
    </row>
    <row r="468" spans="1:34" x14ac:dyDescent="0.2">
      <c r="A468" s="347">
        <f t="shared" ca="1" si="209"/>
        <v>0.1</v>
      </c>
      <c r="B468" s="304">
        <f t="shared" ca="1" si="210"/>
        <v>28.400000000000137</v>
      </c>
      <c r="D468" s="306">
        <f t="shared" ca="1" si="211"/>
        <v>-0.78220218900705418</v>
      </c>
      <c r="E468" s="307">
        <f t="shared" ca="1" si="212"/>
        <v>-4.8528126835193675</v>
      </c>
      <c r="F468" s="304">
        <f t="shared" ca="1" si="213"/>
        <v>4.9154482202352483</v>
      </c>
      <c r="G468" s="306">
        <f t="shared" ca="1" si="214"/>
        <v>15.889303874257283</v>
      </c>
      <c r="H468" s="307">
        <f t="shared" ca="1" si="215"/>
        <v>-101.67907620094043</v>
      </c>
      <c r="I468" s="304">
        <f t="shared" ca="1" si="216"/>
        <v>102.91309204705269</v>
      </c>
      <c r="J468" s="306">
        <f t="shared" ca="1" si="217"/>
        <v>683.5863558844261</v>
      </c>
      <c r="K468" s="307">
        <f t="shared" ca="1" si="218"/>
        <v>580.13501638324476</v>
      </c>
      <c r="L468" s="304">
        <f t="shared" ca="1" si="203"/>
        <v>896.57511854017946</v>
      </c>
      <c r="M468" s="306">
        <f t="shared" ca="1" si="219"/>
        <v>-1.4157808811020549</v>
      </c>
      <c r="N468" s="304">
        <f t="shared" ca="1" si="220"/>
        <v>-81.118269202460752</v>
      </c>
      <c r="P468" s="310">
        <f t="shared" ca="1" si="221"/>
        <v>23</v>
      </c>
      <c r="Q468" s="304">
        <f t="shared" ca="1" si="222"/>
        <v>0</v>
      </c>
      <c r="R468" s="306">
        <f t="shared" ca="1" si="223"/>
        <v>0</v>
      </c>
      <c r="S468" s="307">
        <f t="shared" ca="1" si="224"/>
        <v>7.9769999999999968</v>
      </c>
      <c r="T468" s="304">
        <f t="shared" ca="1" si="204"/>
        <v>78.254369999999966</v>
      </c>
      <c r="U468" s="311">
        <f t="shared" ca="1" si="205"/>
        <v>0</v>
      </c>
      <c r="V468" s="306">
        <f t="shared" ca="1" si="206"/>
        <v>1.1559367606671451</v>
      </c>
      <c r="W468" s="304">
        <f t="shared" ca="1" si="207"/>
        <v>40.439796512067893</v>
      </c>
      <c r="Y468" s="314" t="str">
        <f t="shared" ca="1" si="225"/>
        <v/>
      </c>
      <c r="Z468" s="315" t="str">
        <f t="shared" ca="1" si="226"/>
        <v/>
      </c>
      <c r="AA468" s="316" t="str">
        <f t="shared" ca="1" si="227"/>
        <v/>
      </c>
      <c r="AC468" s="310" t="e">
        <f t="shared" ca="1" si="228"/>
        <v>#N/A</v>
      </c>
      <c r="AD468" s="323" t="e">
        <f t="shared" ca="1" si="229"/>
        <v>#N/A</v>
      </c>
      <c r="AE468" s="324" t="e">
        <f t="shared" ca="1" si="208"/>
        <v>#N/A</v>
      </c>
      <c r="AG468" s="306">
        <f t="shared" ca="1" si="230"/>
        <v>4.6715883673737961</v>
      </c>
      <c r="AH468" s="304">
        <f t="shared" ca="1" si="231"/>
        <v>-5.0185203352346681</v>
      </c>
    </row>
    <row r="469" spans="1:34" x14ac:dyDescent="0.2">
      <c r="A469" s="347">
        <f t="shared" ca="1" si="209"/>
        <v>0.1</v>
      </c>
      <c r="B469" s="304">
        <f t="shared" ca="1" si="210"/>
        <v>28.500000000000139</v>
      </c>
      <c r="D469" s="306">
        <f t="shared" ca="1" si="211"/>
        <v>-0.78271492196711911</v>
      </c>
      <c r="E469" s="307">
        <f t="shared" ca="1" si="212"/>
        <v>-4.8012387084970465</v>
      </c>
      <c r="F469" s="304">
        <f t="shared" ca="1" si="213"/>
        <v>4.8646208264406781</v>
      </c>
      <c r="G469" s="306">
        <f t="shared" ca="1" si="214"/>
        <v>15.811032382060571</v>
      </c>
      <c r="H469" s="307">
        <f t="shared" ca="1" si="215"/>
        <v>-102.15920007179014</v>
      </c>
      <c r="I469" s="304">
        <f t="shared" ca="1" si="216"/>
        <v>103.37548502568011</v>
      </c>
      <c r="J469" s="306">
        <f t="shared" ca="1" si="217"/>
        <v>685.17137269724196</v>
      </c>
      <c r="K469" s="307">
        <f t="shared" ca="1" si="218"/>
        <v>569.94310256960819</v>
      </c>
      <c r="L469" s="304">
        <f t="shared" ca="1" si="203"/>
        <v>891.23226497389203</v>
      </c>
      <c r="M469" s="306">
        <f t="shared" ca="1" si="219"/>
        <v>-1.4172460437768633</v>
      </c>
      <c r="N469" s="304">
        <f t="shared" ca="1" si="220"/>
        <v>-81.202216840027376</v>
      </c>
      <c r="P469" s="310">
        <f t="shared" ca="1" si="221"/>
        <v>23</v>
      </c>
      <c r="Q469" s="304">
        <f t="shared" ca="1" si="222"/>
        <v>0</v>
      </c>
      <c r="R469" s="306">
        <f t="shared" ca="1" si="223"/>
        <v>0</v>
      </c>
      <c r="S469" s="307">
        <f t="shared" ca="1" si="224"/>
        <v>7.9769999999999968</v>
      </c>
      <c r="T469" s="304">
        <f t="shared" ca="1" si="204"/>
        <v>78.254369999999966</v>
      </c>
      <c r="U469" s="311">
        <f t="shared" ca="1" si="205"/>
        <v>0</v>
      </c>
      <c r="V469" s="306">
        <f t="shared" ca="1" si="206"/>
        <v>1.1571164577688549</v>
      </c>
      <c r="W469" s="304">
        <f t="shared" ca="1" si="207"/>
        <v>40.84565113838454</v>
      </c>
      <c r="Y469" s="314" t="str">
        <f t="shared" ca="1" si="225"/>
        <v/>
      </c>
      <c r="Z469" s="315" t="str">
        <f t="shared" ca="1" si="226"/>
        <v/>
      </c>
      <c r="AA469" s="316" t="str">
        <f t="shared" ca="1" si="227"/>
        <v/>
      </c>
      <c r="AC469" s="310" t="e">
        <f t="shared" ca="1" si="228"/>
        <v>#N/A</v>
      </c>
      <c r="AD469" s="323" t="e">
        <f t="shared" ca="1" si="229"/>
        <v>#N/A</v>
      </c>
      <c r="AE469" s="324" t="e">
        <f t="shared" ca="1" si="208"/>
        <v>#N/A</v>
      </c>
      <c r="AG469" s="306">
        <f t="shared" ca="1" si="230"/>
        <v>4.6228202048443832</v>
      </c>
      <c r="AH469" s="304">
        <f t="shared" ca="1" si="231"/>
        <v>-5.0695495188752551</v>
      </c>
    </row>
    <row r="470" spans="1:34" x14ac:dyDescent="0.2">
      <c r="A470" s="347">
        <f t="shared" ca="1" si="209"/>
        <v>0.1</v>
      </c>
      <c r="B470" s="304">
        <f t="shared" ca="1" si="210"/>
        <v>28.60000000000014</v>
      </c>
      <c r="D470" s="306">
        <f t="shared" ca="1" si="211"/>
        <v>-0.78315711811896549</v>
      </c>
      <c r="E470" s="307">
        <f t="shared" ca="1" si="212"/>
        <v>-4.7498177940398918</v>
      </c>
      <c r="F470" s="304">
        <f t="shared" ca="1" si="213"/>
        <v>4.8139489141699858</v>
      </c>
      <c r="G470" s="306">
        <f t="shared" ca="1" si="214"/>
        <v>15.732716670248674</v>
      </c>
      <c r="H470" s="307">
        <f t="shared" ca="1" si="215"/>
        <v>-102.63418185119413</v>
      </c>
      <c r="I470" s="304">
        <f t="shared" ca="1" si="216"/>
        <v>103.83300851892093</v>
      </c>
      <c r="J470" s="306">
        <f t="shared" ca="1" si="217"/>
        <v>686.74856014985744</v>
      </c>
      <c r="K470" s="307">
        <f t="shared" ca="1" si="218"/>
        <v>559.70343347345897</v>
      </c>
      <c r="L470" s="304">
        <f t="shared" ca="1" si="203"/>
        <v>885.94103545883968</v>
      </c>
      <c r="M470" s="306">
        <f t="shared" ca="1" si="219"/>
        <v>-1.4186910721971899</v>
      </c>
      <c r="N470" s="304">
        <f t="shared" ca="1" si="220"/>
        <v>-81.28501086978855</v>
      </c>
      <c r="P470" s="310">
        <f t="shared" ca="1" si="221"/>
        <v>23</v>
      </c>
      <c r="Q470" s="304">
        <f t="shared" ca="1" si="222"/>
        <v>0</v>
      </c>
      <c r="R470" s="306">
        <f t="shared" ca="1" si="223"/>
        <v>0</v>
      </c>
      <c r="S470" s="307">
        <f t="shared" ca="1" si="224"/>
        <v>7.9769999999999968</v>
      </c>
      <c r="T470" s="304">
        <f t="shared" ca="1" si="204"/>
        <v>78.254369999999966</v>
      </c>
      <c r="U470" s="311">
        <f t="shared" ca="1" si="205"/>
        <v>0</v>
      </c>
      <c r="V470" s="306">
        <f t="shared" ca="1" si="206"/>
        <v>1.1583028603040357</v>
      </c>
      <c r="W470" s="304">
        <f t="shared" ca="1" si="207"/>
        <v>41.250254926438494</v>
      </c>
      <c r="Y470" s="314" t="str">
        <f t="shared" ca="1" si="225"/>
        <v/>
      </c>
      <c r="Z470" s="315" t="str">
        <f t="shared" ca="1" si="226"/>
        <v/>
      </c>
      <c r="AA470" s="316" t="str">
        <f t="shared" ca="1" si="227"/>
        <v/>
      </c>
      <c r="AC470" s="310" t="e">
        <f t="shared" ca="1" si="228"/>
        <v>#N/A</v>
      </c>
      <c r="AD470" s="323" t="e">
        <f t="shared" ca="1" si="229"/>
        <v>#N/A</v>
      </c>
      <c r="AE470" s="324" t="e">
        <f t="shared" ca="1" si="208"/>
        <v>#N/A</v>
      </c>
      <c r="AG470" s="306">
        <f t="shared" ca="1" si="230"/>
        <v>4.5741508603667995</v>
      </c>
      <c r="AH470" s="304">
        <f t="shared" ca="1" si="231"/>
        <v>-5.1204276217104869</v>
      </c>
    </row>
    <row r="471" spans="1:34" x14ac:dyDescent="0.2">
      <c r="A471" s="347">
        <f t="shared" ca="1" si="209"/>
        <v>0.1</v>
      </c>
      <c r="B471" s="304">
        <f t="shared" ca="1" si="210"/>
        <v>28.700000000000141</v>
      </c>
      <c r="D471" s="306">
        <f t="shared" ca="1" si="211"/>
        <v>-0.78352945717283529</v>
      </c>
      <c r="E471" s="307">
        <f t="shared" ca="1" si="212"/>
        <v>-4.6985557098147934</v>
      </c>
      <c r="F471" s="304">
        <f t="shared" ca="1" si="213"/>
        <v>4.7634382717204131</v>
      </c>
      <c r="G471" s="306">
        <f t="shared" ca="1" si="214"/>
        <v>15.654363724531391</v>
      </c>
      <c r="H471" s="307">
        <f t="shared" ca="1" si="215"/>
        <v>-103.10403742217561</v>
      </c>
      <c r="I471" s="304">
        <f t="shared" ca="1" si="216"/>
        <v>104.28567320765261</v>
      </c>
      <c r="J471" s="306">
        <f t="shared" ca="1" si="217"/>
        <v>688.31791416959641</v>
      </c>
      <c r="K471" s="307">
        <f t="shared" ca="1" si="218"/>
        <v>549.41652250979052</v>
      </c>
      <c r="L471" s="304">
        <f t="shared" ca="1" si="203"/>
        <v>880.70430121212371</v>
      </c>
      <c r="M471" s="306">
        <f t="shared" ca="1" si="219"/>
        <v>-1.4201163935429715</v>
      </c>
      <c r="N471" s="304">
        <f t="shared" ca="1" si="220"/>
        <v>-81.366675767351737</v>
      </c>
      <c r="P471" s="310">
        <f t="shared" ca="1" si="221"/>
        <v>23</v>
      </c>
      <c r="Q471" s="304">
        <f t="shared" ca="1" si="222"/>
        <v>0</v>
      </c>
      <c r="R471" s="306">
        <f t="shared" ca="1" si="223"/>
        <v>0</v>
      </c>
      <c r="S471" s="307">
        <f t="shared" ca="1" si="224"/>
        <v>7.9769999999999968</v>
      </c>
      <c r="T471" s="304">
        <f t="shared" ca="1" si="204"/>
        <v>78.254369999999966</v>
      </c>
      <c r="U471" s="311">
        <f t="shared" ca="1" si="205"/>
        <v>0</v>
      </c>
      <c r="V471" s="306">
        <f t="shared" ca="1" si="206"/>
        <v>1.1594959269926473</v>
      </c>
      <c r="W471" s="304">
        <f t="shared" ca="1" si="207"/>
        <v>41.653563165637593</v>
      </c>
      <c r="Y471" s="314" t="str">
        <f t="shared" ca="1" si="225"/>
        <v/>
      </c>
      <c r="Z471" s="315" t="str">
        <f t="shared" ca="1" si="226"/>
        <v/>
      </c>
      <c r="AA471" s="316" t="str">
        <f t="shared" ca="1" si="227"/>
        <v/>
      </c>
      <c r="AC471" s="310" t="e">
        <f t="shared" ca="1" si="228"/>
        <v>#N/A</v>
      </c>
      <c r="AD471" s="323" t="e">
        <f t="shared" ca="1" si="229"/>
        <v>#N/A</v>
      </c>
      <c r="AE471" s="324" t="e">
        <f t="shared" ca="1" si="208"/>
        <v>#N/A</v>
      </c>
      <c r="AG471" s="306">
        <f t="shared" ca="1" si="230"/>
        <v>4.525587584423846</v>
      </c>
      <c r="AH471" s="304">
        <f t="shared" ca="1" si="231"/>
        <v>-5.1711489189467859</v>
      </c>
    </row>
    <row r="472" spans="1:34" x14ac:dyDescent="0.2">
      <c r="A472" s="347">
        <f t="shared" ca="1" si="209"/>
        <v>0.1</v>
      </c>
      <c r="B472" s="304">
        <f t="shared" ca="1" si="210"/>
        <v>28.800000000000143</v>
      </c>
      <c r="D472" s="306">
        <f t="shared" ca="1" si="211"/>
        <v>-0.78383262761358596</v>
      </c>
      <c r="E472" s="307">
        <f t="shared" ca="1" si="212"/>
        <v>-4.6474581048254873</v>
      </c>
      <c r="F472" s="304">
        <f t="shared" ca="1" si="213"/>
        <v>4.713094569836227</v>
      </c>
      <c r="G472" s="306">
        <f t="shared" ca="1" si="214"/>
        <v>15.575980461770033</v>
      </c>
      <c r="H472" s="307">
        <f t="shared" ca="1" si="215"/>
        <v>-103.56878323265816</v>
      </c>
      <c r="I472" s="304">
        <f t="shared" ca="1" si="216"/>
        <v>104.73349047768234</v>
      </c>
      <c r="J472" s="306">
        <f t="shared" ca="1" si="217"/>
        <v>689.87943137891148</v>
      </c>
      <c r="K472" s="307">
        <f t="shared" ca="1" si="218"/>
        <v>539.08288147704889</v>
      </c>
      <c r="L472" s="304">
        <f t="shared" ca="1" si="203"/>
        <v>875.52497562393285</v>
      </c>
      <c r="M472" s="306">
        <f t="shared" ca="1" si="219"/>
        <v>-1.4215224227560994</v>
      </c>
      <c r="N472" s="304">
        <f t="shared" ca="1" si="220"/>
        <v>-81.447235307136069</v>
      </c>
      <c r="P472" s="310">
        <f t="shared" ca="1" si="221"/>
        <v>23</v>
      </c>
      <c r="Q472" s="304">
        <f t="shared" ca="1" si="222"/>
        <v>0</v>
      </c>
      <c r="R472" s="306">
        <f t="shared" ca="1" si="223"/>
        <v>0</v>
      </c>
      <c r="S472" s="307">
        <f t="shared" ca="1" si="224"/>
        <v>7.9769999999999968</v>
      </c>
      <c r="T472" s="304">
        <f t="shared" ca="1" si="204"/>
        <v>78.254369999999966</v>
      </c>
      <c r="U472" s="311">
        <f t="shared" ca="1" si="205"/>
        <v>0</v>
      </c>
      <c r="V472" s="306">
        <f t="shared" ca="1" si="206"/>
        <v>1.1606956166329179</v>
      </c>
      <c r="W472" s="304">
        <f t="shared" ca="1" si="207"/>
        <v>42.055532101309709</v>
      </c>
      <c r="Y472" s="314" t="str">
        <f t="shared" ca="1" si="225"/>
        <v/>
      </c>
      <c r="Z472" s="315" t="str">
        <f t="shared" ca="1" si="226"/>
        <v/>
      </c>
      <c r="AA472" s="316" t="str">
        <f t="shared" ca="1" si="227"/>
        <v/>
      </c>
      <c r="AC472" s="310" t="e">
        <f t="shared" ca="1" si="228"/>
        <v>#N/A</v>
      </c>
      <c r="AD472" s="323" t="e">
        <f t="shared" ca="1" si="229"/>
        <v>#N/A</v>
      </c>
      <c r="AE472" s="324" t="e">
        <f t="shared" ca="1" si="208"/>
        <v>#N/A</v>
      </c>
      <c r="AG472" s="306">
        <f t="shared" ca="1" si="230"/>
        <v>4.477137452777554</v>
      </c>
      <c r="AH472" s="304">
        <f t="shared" ca="1" si="231"/>
        <v>-5.2217078056459334</v>
      </c>
    </row>
    <row r="473" spans="1:34" x14ac:dyDescent="0.2">
      <c r="A473" s="347">
        <f t="shared" ca="1" si="209"/>
        <v>0.1</v>
      </c>
      <c r="B473" s="304">
        <f t="shared" ca="1" si="210"/>
        <v>28.900000000000144</v>
      </c>
      <c r="D473" s="306">
        <f t="shared" ca="1" si="211"/>
        <v>-0.78406732627215447</v>
      </c>
      <c r="E473" s="307">
        <f t="shared" ca="1" si="212"/>
        <v>-4.5965305074180476</v>
      </c>
      <c r="F473" s="304">
        <f t="shared" ca="1" si="213"/>
        <v>4.6629233617712806</v>
      </c>
      <c r="G473" s="306">
        <f t="shared" ca="1" si="214"/>
        <v>15.497573729142818</v>
      </c>
      <c r="H473" s="307">
        <f t="shared" ca="1" si="215"/>
        <v>-104.02843628339997</v>
      </c>
      <c r="I473" s="304">
        <f t="shared" ca="1" si="216"/>
        <v>105.17647240262255</v>
      </c>
      <c r="J473" s="306">
        <f t="shared" ca="1" si="217"/>
        <v>691.43310908845717</v>
      </c>
      <c r="K473" s="307">
        <f t="shared" ca="1" si="218"/>
        <v>528.70302050124599</v>
      </c>
      <c r="L473" s="304">
        <f t="shared" ca="1" si="203"/>
        <v>870.40601343905666</v>
      </c>
      <c r="M473" s="306">
        <f t="shared" ca="1" si="219"/>
        <v>-1.4229095629696213</v>
      </c>
      <c r="N473" s="304">
        <f t="shared" ca="1" si="220"/>
        <v>-81.526712586963754</v>
      </c>
      <c r="P473" s="310">
        <f t="shared" ca="1" si="221"/>
        <v>23</v>
      </c>
      <c r="Q473" s="304">
        <f t="shared" ca="1" si="222"/>
        <v>0</v>
      </c>
      <c r="R473" s="306">
        <f t="shared" ca="1" si="223"/>
        <v>0</v>
      </c>
      <c r="S473" s="307">
        <f t="shared" ca="1" si="224"/>
        <v>7.9769999999999968</v>
      </c>
      <c r="T473" s="304">
        <f t="shared" ca="1" si="204"/>
        <v>78.254369999999966</v>
      </c>
      <c r="U473" s="311">
        <f t="shared" ca="1" si="205"/>
        <v>0</v>
      </c>
      <c r="V473" s="306">
        <f t="shared" ca="1" si="206"/>
        <v>1.161901888105914</v>
      </c>
      <c r="W473" s="304">
        <f t="shared" ca="1" si="207"/>
        <v>42.456118934082937</v>
      </c>
      <c r="Y473" s="314" t="str">
        <f t="shared" ca="1" si="225"/>
        <v/>
      </c>
      <c r="Z473" s="315" t="str">
        <f t="shared" ca="1" si="226"/>
        <v/>
      </c>
      <c r="AA473" s="316" t="str">
        <f t="shared" ca="1" si="227"/>
        <v/>
      </c>
      <c r="AC473" s="310" t="e">
        <f t="shared" ca="1" si="228"/>
        <v>#N/A</v>
      </c>
      <c r="AD473" s="323" t="e">
        <f t="shared" ca="1" si="229"/>
        <v>#N/A</v>
      </c>
      <c r="AE473" s="324" t="e">
        <f t="shared" ca="1" si="208"/>
        <v>#N/A</v>
      </c>
      <c r="AG473" s="306">
        <f t="shared" ca="1" si="230"/>
        <v>4.4288073688252876</v>
      </c>
      <c r="AH473" s="304">
        <f t="shared" ca="1" si="231"/>
        <v>-5.2720987967042401</v>
      </c>
    </row>
    <row r="474" spans="1:34" x14ac:dyDescent="0.2">
      <c r="A474" s="347">
        <f t="shared" ca="1" si="209"/>
        <v>0.1</v>
      </c>
      <c r="B474" s="304">
        <f t="shared" ca="1" si="210"/>
        <v>29.000000000000146</v>
      </c>
      <c r="D474" s="306">
        <f t="shared" ca="1" si="211"/>
        <v>-0.78423425790302326</v>
      </c>
      <c r="E474" s="307">
        <f t="shared" ca="1" si="212"/>
        <v>-4.5457783253445756</v>
      </c>
      <c r="F474" s="304">
        <f t="shared" ca="1" si="213"/>
        <v>4.612930083411328</v>
      </c>
      <c r="G474" s="306">
        <f t="shared" ca="1" si="214"/>
        <v>15.419150303352517</v>
      </c>
      <c r="H474" s="307">
        <f t="shared" ca="1" si="215"/>
        <v>-104.48301411593442</v>
      </c>
      <c r="I474" s="304">
        <f t="shared" ca="1" si="216"/>
        <v>105.61463172699096</v>
      </c>
      <c r="J474" s="306">
        <f t="shared" ca="1" si="217"/>
        <v>692.97894529008192</v>
      </c>
      <c r="K474" s="307">
        <f t="shared" ca="1" si="218"/>
        <v>518.27744798127924</v>
      </c>
      <c r="L474" s="304">
        <f t="shared" ca="1" si="203"/>
        <v>865.35040977706944</v>
      </c>
      <c r="M474" s="306">
        <f t="shared" ca="1" si="219"/>
        <v>-1.4242782059192522</v>
      </c>
      <c r="N474" s="304">
        <f t="shared" ca="1" si="220"/>
        <v>-81.605130051637943</v>
      </c>
      <c r="P474" s="310">
        <f t="shared" ca="1" si="221"/>
        <v>23</v>
      </c>
      <c r="Q474" s="304">
        <f t="shared" ca="1" si="222"/>
        <v>0</v>
      </c>
      <c r="R474" s="306">
        <f t="shared" ca="1" si="223"/>
        <v>0</v>
      </c>
      <c r="S474" s="307">
        <f t="shared" ca="1" si="224"/>
        <v>7.9769999999999968</v>
      </c>
      <c r="T474" s="304">
        <f t="shared" ca="1" si="204"/>
        <v>78.254369999999966</v>
      </c>
      <c r="U474" s="311">
        <f t="shared" ca="1" si="205"/>
        <v>0</v>
      </c>
      <c r="V474" s="306">
        <f t="shared" ca="1" si="206"/>
        <v>1.1631147003800233</v>
      </c>
      <c r="W474" s="304">
        <f t="shared" ca="1" si="207"/>
        <v>42.855281818822014</v>
      </c>
      <c r="Y474" s="314" t="str">
        <f t="shared" ca="1" si="225"/>
        <v/>
      </c>
      <c r="Z474" s="315" t="str">
        <f t="shared" ca="1" si="226"/>
        <v/>
      </c>
      <c r="AA474" s="316" t="str">
        <f t="shared" ca="1" si="227"/>
        <v/>
      </c>
      <c r="AC474" s="310">
        <f t="shared" ca="1" si="228"/>
        <v>29.000000000000146</v>
      </c>
      <c r="AD474" s="323">
        <f t="shared" ca="1" si="229"/>
        <v>692.97894529008192</v>
      </c>
      <c r="AE474" s="324" t="e">
        <f t="shared" ca="1" si="208"/>
        <v>#N/A</v>
      </c>
      <c r="AG474" s="306">
        <f t="shared" ca="1" si="230"/>
        <v>4.3806040658985701</v>
      </c>
      <c r="AH474" s="304">
        <f t="shared" ca="1" si="231"/>
        <v>-5.3223165267748467</v>
      </c>
    </row>
    <row r="475" spans="1:34" x14ac:dyDescent="0.2">
      <c r="A475" s="347">
        <f t="shared" ca="1" si="209"/>
        <v>0.1</v>
      </c>
      <c r="B475" s="304">
        <f t="shared" ca="1" si="210"/>
        <v>29.100000000000147</v>
      </c>
      <c r="D475" s="306">
        <f t="shared" ca="1" si="211"/>
        <v>-0.78433413476773339</v>
      </c>
      <c r="E475" s="307">
        <f t="shared" ca="1" si="212"/>
        <v>-4.4952068458838221</v>
      </c>
      <c r="F475" s="304">
        <f t="shared" ca="1" si="213"/>
        <v>4.5631200534549414</v>
      </c>
      <c r="G475" s="306">
        <f t="shared" ca="1" si="214"/>
        <v>15.340716889875743</v>
      </c>
      <c r="H475" s="307">
        <f t="shared" ca="1" si="215"/>
        <v>-104.9325348005228</v>
      </c>
      <c r="I475" s="304">
        <f t="shared" ca="1" si="216"/>
        <v>106.04798184953002</v>
      </c>
      <c r="J475" s="306">
        <f t="shared" ca="1" si="217"/>
        <v>694.51693864974334</v>
      </c>
      <c r="K475" s="307">
        <f t="shared" ca="1" si="218"/>
        <v>507.80667053545636</v>
      </c>
      <c r="L475" s="304">
        <f t="shared" ca="1" si="203"/>
        <v>860.36119898082165</v>
      </c>
      <c r="M475" s="306">
        <f t="shared" ca="1" si="219"/>
        <v>-1.4256287323380312</v>
      </c>
      <c r="N475" s="304">
        <f t="shared" ca="1" si="220"/>
        <v>-81.682509515554898</v>
      </c>
      <c r="P475" s="310">
        <f t="shared" ca="1" si="221"/>
        <v>23</v>
      </c>
      <c r="Q475" s="304">
        <f t="shared" ca="1" si="222"/>
        <v>0</v>
      </c>
      <c r="R475" s="306">
        <f t="shared" ca="1" si="223"/>
        <v>0</v>
      </c>
      <c r="S475" s="307">
        <f t="shared" ca="1" si="224"/>
        <v>7.9769999999999968</v>
      </c>
      <c r="T475" s="304">
        <f t="shared" ca="1" si="204"/>
        <v>78.254369999999966</v>
      </c>
      <c r="U475" s="311">
        <f t="shared" ca="1" si="205"/>
        <v>0</v>
      </c>
      <c r="V475" s="306">
        <f t="shared" ca="1" si="206"/>
        <v>1.1643340125153723</v>
      </c>
      <c r="W475" s="304">
        <f t="shared" ca="1" si="207"/>
        <v>43.252979863131486</v>
      </c>
      <c r="Y475" s="314" t="str">
        <f t="shared" ca="1" si="225"/>
        <v/>
      </c>
      <c r="Z475" s="315" t="str">
        <f t="shared" ca="1" si="226"/>
        <v/>
      </c>
      <c r="AA475" s="316" t="str">
        <f t="shared" ca="1" si="227"/>
        <v/>
      </c>
      <c r="AC475" s="310" t="e">
        <f t="shared" ca="1" si="228"/>
        <v>#N/A</v>
      </c>
      <c r="AD475" s="323" t="e">
        <f t="shared" ca="1" si="229"/>
        <v>#N/A</v>
      </c>
      <c r="AE475" s="324" t="e">
        <f t="shared" ca="1" si="208"/>
        <v>#N/A</v>
      </c>
      <c r="AG475" s="306">
        <f t="shared" ca="1" si="230"/>
        <v>4.3325341095096723</v>
      </c>
      <c r="AH475" s="304">
        <f t="shared" ca="1" si="231"/>
        <v>-5.3723557501343899</v>
      </c>
    </row>
    <row r="476" spans="1:34" x14ac:dyDescent="0.2">
      <c r="A476" s="347">
        <f t="shared" ca="1" si="209"/>
        <v>0.1</v>
      </c>
      <c r="B476" s="304">
        <f t="shared" ca="1" si="210"/>
        <v>29.200000000000149</v>
      </c>
      <c r="D476" s="306">
        <f t="shared" ca="1" si="211"/>
        <v>-0.78436767622449266</v>
      </c>
      <c r="E476" s="307">
        <f t="shared" ca="1" si="212"/>
        <v>-4.4448212360173214</v>
      </c>
      <c r="F476" s="304">
        <f t="shared" ca="1" si="213"/>
        <v>4.5134984736517145</v>
      </c>
      <c r="G476" s="306">
        <f t="shared" ca="1" si="214"/>
        <v>15.262280122253294</v>
      </c>
      <c r="H476" s="307">
        <f t="shared" ca="1" si="215"/>
        <v>-105.37701692412453</v>
      </c>
      <c r="I476" s="304">
        <f t="shared" ca="1" si="216"/>
        <v>106.47653680674141</v>
      </c>
      <c r="J476" s="306">
        <f t="shared" ca="1" si="217"/>
        <v>696.04708850034979</v>
      </c>
      <c r="K476" s="307">
        <f t="shared" ca="1" si="218"/>
        <v>497.29119294922401</v>
      </c>
      <c r="L476" s="304">
        <f t="shared" ca="1" si="203"/>
        <v>855.44145328285106</v>
      </c>
      <c r="M476" s="306">
        <f t="shared" ca="1" si="219"/>
        <v>-1.4269615123349151</v>
      </c>
      <c r="N476" s="304">
        <f t="shared" ca="1" si="220"/>
        <v>-81.758872184395798</v>
      </c>
      <c r="P476" s="310">
        <f t="shared" ca="1" si="221"/>
        <v>23</v>
      </c>
      <c r="Q476" s="304">
        <f t="shared" ca="1" si="222"/>
        <v>0</v>
      </c>
      <c r="R476" s="306">
        <f t="shared" ca="1" si="223"/>
        <v>0</v>
      </c>
      <c r="S476" s="307">
        <f t="shared" ca="1" si="224"/>
        <v>7.9769999999999968</v>
      </c>
      <c r="T476" s="304">
        <f t="shared" ca="1" si="204"/>
        <v>78.254369999999966</v>
      </c>
      <c r="U476" s="311">
        <f t="shared" ca="1" si="205"/>
        <v>0</v>
      </c>
      <c r="V476" s="306">
        <f t="shared" ca="1" si="206"/>
        <v>1.165559783668161</v>
      </c>
      <c r="W476" s="304">
        <f t="shared" ca="1" si="207"/>
        <v>43.649173125435354</v>
      </c>
      <c r="Y476" s="314" t="str">
        <f t="shared" ca="1" si="225"/>
        <v/>
      </c>
      <c r="Z476" s="315" t="str">
        <f t="shared" ca="1" si="226"/>
        <v/>
      </c>
      <c r="AA476" s="316" t="str">
        <f t="shared" ca="1" si="227"/>
        <v/>
      </c>
      <c r="AC476" s="310" t="e">
        <f t="shared" ca="1" si="228"/>
        <v>#N/A</v>
      </c>
      <c r="AD476" s="323" t="e">
        <f t="shared" ca="1" si="229"/>
        <v>#N/A</v>
      </c>
      <c r="AE476" s="324" t="e">
        <f t="shared" ca="1" si="208"/>
        <v>#N/A</v>
      </c>
      <c r="AG476" s="306">
        <f t="shared" ca="1" si="230"/>
        <v>4.284603899550536</v>
      </c>
      <c r="AH476" s="304">
        <f t="shared" ca="1" si="231"/>
        <v>-5.4222113404953625</v>
      </c>
    </row>
    <row r="477" spans="1:34" x14ac:dyDescent="0.2">
      <c r="A477" s="347">
        <f t="shared" ca="1" si="209"/>
        <v>0.1</v>
      </c>
      <c r="B477" s="304">
        <f t="shared" ca="1" si="210"/>
        <v>29.30000000000015</v>
      </c>
      <c r="D477" s="306">
        <f t="shared" ca="1" si="211"/>
        <v>-0.78433560832390059</v>
      </c>
      <c r="E477" s="307">
        <f t="shared" ca="1" si="212"/>
        <v>-4.394626542659819</v>
      </c>
      <c r="F477" s="304">
        <f t="shared" ca="1" si="213"/>
        <v>4.4640704290966351</v>
      </c>
      <c r="G477" s="306">
        <f t="shared" ca="1" si="214"/>
        <v>15.183846561420903</v>
      </c>
      <c r="H477" s="307">
        <f t="shared" ca="1" si="215"/>
        <v>-105.81647957839051</v>
      </c>
      <c r="I477" s="304">
        <f t="shared" ca="1" si="216"/>
        <v>106.90031125663157</v>
      </c>
      <c r="J477" s="306">
        <f t="shared" ca="1" si="217"/>
        <v>697.56939483453345</v>
      </c>
      <c r="K477" s="307">
        <f t="shared" ca="1" si="218"/>
        <v>486.73151812409827</v>
      </c>
      <c r="L477" s="304">
        <f t="shared" ca="1" si="203"/>
        <v>850.5942812793927</v>
      </c>
      <c r="M477" s="306">
        <f t="shared" ca="1" si="219"/>
        <v>-1.4282769057580549</v>
      </c>
      <c r="N477" s="304">
        <f t="shared" ca="1" si="220"/>
        <v>-81.834238675940966</v>
      </c>
      <c r="P477" s="310">
        <f t="shared" ca="1" si="221"/>
        <v>23</v>
      </c>
      <c r="Q477" s="304">
        <f t="shared" ca="1" si="222"/>
        <v>0</v>
      </c>
      <c r="R477" s="306">
        <f t="shared" ca="1" si="223"/>
        <v>0</v>
      </c>
      <c r="S477" s="307">
        <f t="shared" ca="1" si="224"/>
        <v>7.9769999999999968</v>
      </c>
      <c r="T477" s="304">
        <f t="shared" ca="1" si="204"/>
        <v>78.254369999999966</v>
      </c>
      <c r="U477" s="311">
        <f t="shared" ca="1" si="205"/>
        <v>0</v>
      </c>
      <c r="V477" s="306">
        <f t="shared" ca="1" si="206"/>
        <v>1.1667919730949237</v>
      </c>
      <c r="W477" s="304">
        <f t="shared" ca="1" si="207"/>
        <v>44.043822612643744</v>
      </c>
      <c r="Y477" s="314" t="str">
        <f t="shared" ca="1" si="225"/>
        <v/>
      </c>
      <c r="Z477" s="315" t="str">
        <f t="shared" ca="1" si="226"/>
        <v/>
      </c>
      <c r="AA477" s="316" t="str">
        <f t="shared" ca="1" si="227"/>
        <v/>
      </c>
      <c r="AC477" s="310" t="e">
        <f t="shared" ca="1" si="228"/>
        <v>#N/A</v>
      </c>
      <c r="AD477" s="323" t="e">
        <f t="shared" ca="1" si="229"/>
        <v>#N/A</v>
      </c>
      <c r="AE477" s="324" t="e">
        <f t="shared" ca="1" si="208"/>
        <v>#N/A</v>
      </c>
      <c r="AG477" s="306">
        <f t="shared" ca="1" si="230"/>
        <v>4.2368196724483544</v>
      </c>
      <c r="AH477" s="304">
        <f t="shared" ca="1" si="231"/>
        <v>-5.471878290765372</v>
      </c>
    </row>
    <row r="478" spans="1:34" x14ac:dyDescent="0.2">
      <c r="A478" s="347">
        <f t="shared" ca="1" si="209"/>
        <v>0.1</v>
      </c>
      <c r="B478" s="304">
        <f t="shared" ca="1" si="210"/>
        <v>29.400000000000151</v>
      </c>
      <c r="D478" s="306">
        <f t="shared" ca="1" si="211"/>
        <v>-0.78423866341085291</v>
      </c>
      <c r="E478" s="307">
        <f t="shared" ca="1" si="212"/>
        <v>-4.3446276929425798</v>
      </c>
      <c r="F478" s="304">
        <f t="shared" ca="1" si="213"/>
        <v>4.4148408885793389</v>
      </c>
      <c r="G478" s="306">
        <f t="shared" ca="1" si="214"/>
        <v>15.105422695079818</v>
      </c>
      <c r="H478" s="307">
        <f t="shared" ca="1" si="215"/>
        <v>-106.25094234768477</v>
      </c>
      <c r="I478" s="304">
        <f t="shared" ca="1" si="216"/>
        <v>107.31932046266444</v>
      </c>
      <c r="J478" s="306">
        <f t="shared" ca="1" si="217"/>
        <v>699.08385829735846</v>
      </c>
      <c r="K478" s="307">
        <f t="shared" ca="1" si="218"/>
        <v>476.12814702779451</v>
      </c>
      <c r="L478" s="304">
        <f t="shared" ca="1" si="203"/>
        <v>845.8228262018248</v>
      </c>
      <c r="M478" s="306">
        <f t="shared" ca="1" si="219"/>
        <v>-1.4295752625434675</v>
      </c>
      <c r="N478" s="304">
        <f t="shared" ca="1" si="220"/>
        <v>-81.908629040047288</v>
      </c>
      <c r="P478" s="310">
        <f t="shared" ca="1" si="221"/>
        <v>23</v>
      </c>
      <c r="Q478" s="304">
        <f t="shared" ca="1" si="222"/>
        <v>0</v>
      </c>
      <c r="R478" s="306">
        <f t="shared" ca="1" si="223"/>
        <v>0</v>
      </c>
      <c r="S478" s="307">
        <f t="shared" ca="1" si="224"/>
        <v>7.9769999999999968</v>
      </c>
      <c r="T478" s="304">
        <f t="shared" ca="1" si="204"/>
        <v>78.254369999999966</v>
      </c>
      <c r="U478" s="311">
        <f t="shared" ca="1" si="205"/>
        <v>0</v>
      </c>
      <c r="V478" s="306">
        <f t="shared" ca="1" si="206"/>
        <v>1.1680305401567133</v>
      </c>
      <c r="W478" s="304">
        <f t="shared" ca="1" si="207"/>
        <v>44.436890277417035</v>
      </c>
      <c r="Y478" s="314" t="str">
        <f t="shared" ca="1" si="225"/>
        <v/>
      </c>
      <c r="Z478" s="315" t="str">
        <f t="shared" ca="1" si="226"/>
        <v/>
      </c>
      <c r="AA478" s="316" t="str">
        <f t="shared" ca="1" si="227"/>
        <v/>
      </c>
      <c r="AC478" s="310" t="e">
        <f t="shared" ca="1" si="228"/>
        <v>#N/A</v>
      </c>
      <c r="AD478" s="323" t="e">
        <f t="shared" ca="1" si="229"/>
        <v>#N/A</v>
      </c>
      <c r="AE478" s="324" t="e">
        <f t="shared" ca="1" si="208"/>
        <v>#N/A</v>
      </c>
      <c r="AG478" s="306">
        <f t="shared" ca="1" si="230"/>
        <v>4.1891875032816914</v>
      </c>
      <c r="AH478" s="304">
        <f t="shared" ca="1" si="231"/>
        <v>-5.5213517127546394</v>
      </c>
    </row>
    <row r="479" spans="1:34" x14ac:dyDescent="0.2">
      <c r="A479" s="347">
        <f t="shared" ca="1" si="209"/>
        <v>0.1</v>
      </c>
      <c r="B479" s="304">
        <f t="shared" ca="1" si="210"/>
        <v>29.500000000000153</v>
      </c>
      <c r="D479" s="306">
        <f t="shared" ca="1" si="211"/>
        <v>-0.78407757973264702</v>
      </c>
      <c r="E479" s="307">
        <f t="shared" ca="1" si="212"/>
        <v>-4.2948294945482495</v>
      </c>
      <c r="F479" s="304">
        <f t="shared" ca="1" si="213"/>
        <v>4.3658147049870282</v>
      </c>
      <c r="G479" s="306">
        <f t="shared" ca="1" si="214"/>
        <v>15.027014937106554</v>
      </c>
      <c r="H479" s="307">
        <f t="shared" ca="1" si="215"/>
        <v>-106.68042529713959</v>
      </c>
      <c r="I479" s="304">
        <f t="shared" ca="1" si="216"/>
        <v>107.73358027791801</v>
      </c>
      <c r="J479" s="306">
        <f t="shared" ca="1" si="217"/>
        <v>700.59048017896782</v>
      </c>
      <c r="K479" s="307">
        <f t="shared" ca="1" si="218"/>
        <v>465.48157864555327</v>
      </c>
      <c r="L479" s="304">
        <f t="shared" ca="1" si="203"/>
        <v>841.13026397565386</v>
      </c>
      <c r="M479" s="306">
        <f t="shared" ca="1" si="219"/>
        <v>-1.4308569230497752</v>
      </c>
      <c r="N479" s="304">
        <f t="shared" ca="1" si="220"/>
        <v>-81.982062777827323</v>
      </c>
      <c r="P479" s="310">
        <f t="shared" ca="1" si="221"/>
        <v>23</v>
      </c>
      <c r="Q479" s="304">
        <f t="shared" ca="1" si="222"/>
        <v>0</v>
      </c>
      <c r="R479" s="306">
        <f t="shared" ca="1" si="223"/>
        <v>0</v>
      </c>
      <c r="S479" s="307">
        <f t="shared" ca="1" si="224"/>
        <v>7.9769999999999968</v>
      </c>
      <c r="T479" s="304">
        <f t="shared" ca="1" si="204"/>
        <v>78.254369999999966</v>
      </c>
      <c r="U479" s="311">
        <f t="shared" ca="1" si="205"/>
        <v>0</v>
      </c>
      <c r="V479" s="306">
        <f t="shared" ca="1" si="206"/>
        <v>1.1692754443232074</v>
      </c>
      <c r="W479" s="304">
        <f t="shared" ca="1" si="207"/>
        <v>44.828339015037493</v>
      </c>
      <c r="Y479" s="314" t="str">
        <f t="shared" ca="1" si="225"/>
        <v/>
      </c>
      <c r="Z479" s="315" t="str">
        <f t="shared" ca="1" si="226"/>
        <v/>
      </c>
      <c r="AA479" s="316" t="str">
        <f t="shared" ca="1" si="227"/>
        <v/>
      </c>
      <c r="AC479" s="310" t="e">
        <f t="shared" ca="1" si="228"/>
        <v>#N/A</v>
      </c>
      <c r="AD479" s="323" t="e">
        <f t="shared" ca="1" si="229"/>
        <v>#N/A</v>
      </c>
      <c r="AE479" s="324" t="e">
        <f t="shared" ca="1" si="208"/>
        <v>#N/A</v>
      </c>
      <c r="AG479" s="306">
        <f t="shared" ca="1" si="230"/>
        <v>4.1417133078607087</v>
      </c>
      <c r="AH479" s="304">
        <f t="shared" ca="1" si="231"/>
        <v>-5.5706268368330267</v>
      </c>
    </row>
    <row r="480" spans="1:34" x14ac:dyDescent="0.2">
      <c r="A480" s="347">
        <f t="shared" ca="1" si="209"/>
        <v>0.1</v>
      </c>
      <c r="B480" s="304">
        <f t="shared" ca="1" si="210"/>
        <v>29.600000000000154</v>
      </c>
      <c r="D480" s="306">
        <f t="shared" ca="1" si="211"/>
        <v>-0.78385310105331596</v>
      </c>
      <c r="E480" s="307">
        <f t="shared" ca="1" si="212"/>
        <v>-4.2452366360959521</v>
      </c>
      <c r="F480" s="304">
        <f t="shared" ca="1" si="213"/>
        <v>4.3169966157598703</v>
      </c>
      <c r="G480" s="306">
        <f t="shared" ca="1" si="214"/>
        <v>14.948629627001221</v>
      </c>
      <c r="H480" s="307">
        <f t="shared" ca="1" si="215"/>
        <v>-107.10494896074918</v>
      </c>
      <c r="I480" s="304">
        <f t="shared" ca="1" si="216"/>
        <v>108.14310712944189</v>
      </c>
      <c r="J480" s="306">
        <f t="shared" ca="1" si="217"/>
        <v>702.08926240717324</v>
      </c>
      <c r="K480" s="307">
        <f t="shared" ca="1" si="218"/>
        <v>454.79230993265884</v>
      </c>
      <c r="L480" s="304">
        <f t="shared" ca="1" si="203"/>
        <v>836.51980105753159</v>
      </c>
      <c r="M480" s="306">
        <f t="shared" ca="1" si="219"/>
        <v>-1.4321222183796498</v>
      </c>
      <c r="N480" s="304">
        <f t="shared" ca="1" si="220"/>
        <v>-82.054558860066749</v>
      </c>
      <c r="P480" s="310">
        <f t="shared" ca="1" si="221"/>
        <v>23</v>
      </c>
      <c r="Q480" s="304">
        <f t="shared" ca="1" si="222"/>
        <v>0</v>
      </c>
      <c r="R480" s="306">
        <f t="shared" ca="1" si="223"/>
        <v>0</v>
      </c>
      <c r="S480" s="307">
        <f t="shared" ca="1" si="224"/>
        <v>7.9769999999999968</v>
      </c>
      <c r="T480" s="304">
        <f t="shared" ca="1" si="204"/>
        <v>78.254369999999966</v>
      </c>
      <c r="U480" s="311">
        <f t="shared" ca="1" si="205"/>
        <v>0</v>
      </c>
      <c r="V480" s="306">
        <f t="shared" ca="1" si="206"/>
        <v>1.170526645176742</v>
      </c>
      <c r="W480" s="304">
        <f t="shared" ca="1" si="207"/>
        <v>45.218132659899432</v>
      </c>
      <c r="Y480" s="314" t="str">
        <f t="shared" ca="1" si="225"/>
        <v/>
      </c>
      <c r="Z480" s="315" t="str">
        <f t="shared" ca="1" si="226"/>
        <v/>
      </c>
      <c r="AA480" s="316" t="str">
        <f t="shared" ca="1" si="227"/>
        <v/>
      </c>
      <c r="AC480" s="310" t="e">
        <f t="shared" ca="1" si="228"/>
        <v>#N/A</v>
      </c>
      <c r="AD480" s="323" t="e">
        <f t="shared" ca="1" si="229"/>
        <v>#N/A</v>
      </c>
      <c r="AE480" s="324" t="e">
        <f t="shared" ca="1" si="208"/>
        <v>#N/A</v>
      </c>
      <c r="AG480" s="306">
        <f t="shared" ca="1" si="230"/>
        <v>4.0944028447748648</v>
      </c>
      <c r="AH480" s="304">
        <f t="shared" ca="1" si="231"/>
        <v>-5.6196990115378602</v>
      </c>
    </row>
    <row r="481" spans="1:34" x14ac:dyDescent="0.2">
      <c r="A481" s="347">
        <f t="shared" ca="1" si="209"/>
        <v>0.1</v>
      </c>
      <c r="B481" s="304">
        <f t="shared" ca="1" si="210"/>
        <v>29.700000000000156</v>
      </c>
      <c r="D481" s="306">
        <f t="shared" ca="1" si="211"/>
        <v>-0.78356597627424873</v>
      </c>
      <c r="E481" s="307">
        <f t="shared" ca="1" si="212"/>
        <v>-4.1958536875752017</v>
      </c>
      <c r="F481" s="304">
        <f t="shared" ca="1" si="213"/>
        <v>4.2683912433975681</v>
      </c>
      <c r="G481" s="306">
        <f t="shared" ca="1" si="214"/>
        <v>14.870273029373797</v>
      </c>
      <c r="H481" s="307">
        <f t="shared" ca="1" si="215"/>
        <v>-107.52453432950671</v>
      </c>
      <c r="I481" s="304">
        <f t="shared" ca="1" si="216"/>
        <v>108.54791800281288</v>
      </c>
      <c r="J481" s="306">
        <f t="shared" ca="1" si="217"/>
        <v>703.58020753999199</v>
      </c>
      <c r="K481" s="307">
        <f t="shared" ca="1" si="218"/>
        <v>444.06083576814603</v>
      </c>
      <c r="L481" s="304">
        <f t="shared" ca="1" si="203"/>
        <v>831.99467204130735</v>
      </c>
      <c r="M481" s="306">
        <f t="shared" ca="1" si="219"/>
        <v>-1.4333714706885667</v>
      </c>
      <c r="N481" s="304">
        <f t="shared" ca="1" si="220"/>
        <v>-82.126135744914663</v>
      </c>
      <c r="P481" s="310">
        <f t="shared" ca="1" si="221"/>
        <v>23</v>
      </c>
      <c r="Q481" s="304">
        <f t="shared" ca="1" si="222"/>
        <v>0</v>
      </c>
      <c r="R481" s="306">
        <f t="shared" ca="1" si="223"/>
        <v>0</v>
      </c>
      <c r="S481" s="307">
        <f t="shared" ca="1" si="224"/>
        <v>7.9769999999999968</v>
      </c>
      <c r="T481" s="304">
        <f t="shared" ca="1" si="204"/>
        <v>78.254369999999966</v>
      </c>
      <c r="U481" s="311">
        <f t="shared" ca="1" si="205"/>
        <v>0</v>
      </c>
      <c r="V481" s="306">
        <f t="shared" ca="1" si="206"/>
        <v>1.1717841024162619</v>
      </c>
      <c r="W481" s="304">
        <f t="shared" ca="1" si="207"/>
        <v>45.606235981627911</v>
      </c>
      <c r="Y481" s="314" t="str">
        <f t="shared" ca="1" si="225"/>
        <v/>
      </c>
      <c r="Z481" s="315" t="str">
        <f t="shared" ca="1" si="226"/>
        <v/>
      </c>
      <c r="AA481" s="316" t="str">
        <f t="shared" ca="1" si="227"/>
        <v/>
      </c>
      <c r="AC481" s="310" t="e">
        <f t="shared" ca="1" si="228"/>
        <v>#N/A</v>
      </c>
      <c r="AD481" s="323" t="e">
        <f t="shared" ca="1" si="229"/>
        <v>#N/A</v>
      </c>
      <c r="AE481" s="324" t="e">
        <f t="shared" ca="1" si="208"/>
        <v>#N/A</v>
      </c>
      <c r="AG481" s="306">
        <f t="shared" ca="1" si="230"/>
        <v>4.0472617174110272</v>
      </c>
      <c r="AH481" s="304">
        <f t="shared" ca="1" si="231"/>
        <v>-5.6685637031339411</v>
      </c>
    </row>
    <row r="482" spans="1:34" x14ac:dyDescent="0.2">
      <c r="A482" s="347">
        <f t="shared" ca="1" si="209"/>
        <v>0.1</v>
      </c>
      <c r="B482" s="304">
        <f t="shared" ca="1" si="210"/>
        <v>29.800000000000157</v>
      </c>
      <c r="D482" s="306">
        <f t="shared" ca="1" si="211"/>
        <v>-0.78321695906110889</v>
      </c>
      <c r="E482" s="307">
        <f t="shared" ca="1" si="212"/>
        <v>-4.1466851008273329</v>
      </c>
      <c r="F482" s="304">
        <f t="shared" ca="1" si="213"/>
        <v>4.2200030960159634</v>
      </c>
      <c r="G482" s="306">
        <f t="shared" ca="1" si="214"/>
        <v>14.791951333467686</v>
      </c>
      <c r="H482" s="307">
        <f t="shared" ca="1" si="215"/>
        <v>-107.93920283958944</v>
      </c>
      <c r="I482" s="304">
        <f t="shared" ca="1" si="216"/>
        <v>108.94803042688615</v>
      </c>
      <c r="J482" s="306">
        <f t="shared" ca="1" si="217"/>
        <v>705.06331875813407</v>
      </c>
      <c r="K482" s="307">
        <f t="shared" ca="1" si="218"/>
        <v>433.28764890969126</v>
      </c>
      <c r="L482" s="304">
        <f t="shared" ca="1" si="203"/>
        <v>827.55813702477849</v>
      </c>
      <c r="M482" s="306">
        <f t="shared" ca="1" si="219"/>
        <v>-1.4346049934814449</v>
      </c>
      <c r="N482" s="304">
        <f t="shared" ca="1" si="220"/>
        <v>-82.196811394879774</v>
      </c>
      <c r="P482" s="310">
        <f t="shared" ca="1" si="221"/>
        <v>23</v>
      </c>
      <c r="Q482" s="304">
        <f t="shared" ca="1" si="222"/>
        <v>0</v>
      </c>
      <c r="R482" s="306">
        <f t="shared" ca="1" si="223"/>
        <v>0</v>
      </c>
      <c r="S482" s="307">
        <f t="shared" ca="1" si="224"/>
        <v>7.9769999999999968</v>
      </c>
      <c r="T482" s="304">
        <f t="shared" ca="1" si="204"/>
        <v>78.254369999999966</v>
      </c>
      <c r="U482" s="311">
        <f t="shared" ca="1" si="205"/>
        <v>0</v>
      </c>
      <c r="V482" s="306">
        <f t="shared" ca="1" si="206"/>
        <v>1.1730477758611992</v>
      </c>
      <c r="W482" s="304">
        <f t="shared" ca="1" si="207"/>
        <v>45.992614680836816</v>
      </c>
      <c r="Y482" s="314" t="str">
        <f t="shared" ca="1" si="225"/>
        <v/>
      </c>
      <c r="Z482" s="315" t="str">
        <f t="shared" ca="1" si="226"/>
        <v/>
      </c>
      <c r="AA482" s="316" t="str">
        <f t="shared" ca="1" si="227"/>
        <v/>
      </c>
      <c r="AC482" s="310" t="e">
        <f t="shared" ca="1" si="228"/>
        <v>#N/A</v>
      </c>
      <c r="AD482" s="323" t="e">
        <f t="shared" ca="1" si="229"/>
        <v>#N/A</v>
      </c>
      <c r="AE482" s="324" t="e">
        <f t="shared" ca="1" si="208"/>
        <v>#N/A</v>
      </c>
      <c r="AG482" s="306">
        <f t="shared" ca="1" si="230"/>
        <v>4.0002953759448019</v>
      </c>
      <c r="AH482" s="304">
        <f t="shared" ca="1" si="231"/>
        <v>-5.7172164951269817</v>
      </c>
    </row>
    <row r="483" spans="1:34" x14ac:dyDescent="0.2">
      <c r="A483" s="347">
        <f t="shared" ca="1" si="209"/>
        <v>0.1</v>
      </c>
      <c r="B483" s="304">
        <f t="shared" ca="1" si="210"/>
        <v>29.900000000000158</v>
      </c>
      <c r="D483" s="306">
        <f t="shared" ca="1" si="211"/>
        <v>-0.78280680747708375</v>
      </c>
      <c r="E483" s="307">
        <f t="shared" ca="1" si="212"/>
        <v>-4.0977352100730515</v>
      </c>
      <c r="F483" s="304">
        <f t="shared" ca="1" si="213"/>
        <v>4.171836567952405</v>
      </c>
      <c r="G483" s="306">
        <f t="shared" ca="1" si="214"/>
        <v>14.713670652719978</v>
      </c>
      <c r="H483" s="307">
        <f t="shared" ca="1" si="215"/>
        <v>-108.34897636059675</v>
      </c>
      <c r="I483" s="304">
        <f t="shared" ca="1" si="216"/>
        <v>109.34346245873992</v>
      </c>
      <c r="J483" s="306">
        <f t="shared" ca="1" si="217"/>
        <v>706.5385998574435</v>
      </c>
      <c r="K483" s="307">
        <f t="shared" ca="1" si="218"/>
        <v>422.47323994968195</v>
      </c>
      <c r="L483" s="304">
        <f t="shared" ca="1" si="203"/>
        <v>823.21347872960519</v>
      </c>
      <c r="M483" s="306">
        <f t="shared" ca="1" si="219"/>
        <v>-1.4358230918977164</v>
      </c>
      <c r="N483" s="304">
        <f t="shared" ca="1" si="220"/>
        <v>-82.266603293163698</v>
      </c>
      <c r="P483" s="310">
        <f t="shared" ca="1" si="221"/>
        <v>23</v>
      </c>
      <c r="Q483" s="304">
        <f t="shared" ca="1" si="222"/>
        <v>0</v>
      </c>
      <c r="R483" s="306">
        <f t="shared" ca="1" si="223"/>
        <v>0</v>
      </c>
      <c r="S483" s="307">
        <f t="shared" ca="1" si="224"/>
        <v>7.9769999999999968</v>
      </c>
      <c r="T483" s="304">
        <f t="shared" ca="1" si="204"/>
        <v>78.254369999999966</v>
      </c>
      <c r="U483" s="311">
        <f t="shared" ca="1" si="205"/>
        <v>0</v>
      </c>
      <c r="V483" s="306">
        <f t="shared" ca="1" si="206"/>
        <v>1.1743176254552765</v>
      </c>
      <c r="W483" s="304">
        <f t="shared" ca="1" si="207"/>
        <v>46.377235384537066</v>
      </c>
      <c r="Y483" s="314" t="str">
        <f t="shared" ca="1" si="225"/>
        <v/>
      </c>
      <c r="Z483" s="315" t="str">
        <f t="shared" ca="1" si="226"/>
        <v/>
      </c>
      <c r="AA483" s="316" t="str">
        <f t="shared" ca="1" si="227"/>
        <v/>
      </c>
      <c r="AC483" s="310" t="e">
        <f t="shared" ca="1" si="228"/>
        <v>#N/A</v>
      </c>
      <c r="AD483" s="323" t="e">
        <f t="shared" ca="1" si="229"/>
        <v>#N/A</v>
      </c>
      <c r="AE483" s="324" t="e">
        <f t="shared" ca="1" si="208"/>
        <v>#N/A</v>
      </c>
      <c r="AG483" s="306">
        <f t="shared" ca="1" si="230"/>
        <v>3.9535091193075838</v>
      </c>
      <c r="AH483" s="304">
        <f t="shared" ca="1" si="231"/>
        <v>-5.7656530877318337</v>
      </c>
    </row>
    <row r="484" spans="1:34" x14ac:dyDescent="0.2">
      <c r="A484" s="347">
        <f t="shared" ca="1" si="209"/>
        <v>0.1</v>
      </c>
      <c r="B484" s="304">
        <f t="shared" ca="1" si="210"/>
        <v>30.00000000000016</v>
      </c>
      <c r="D484" s="306">
        <f t="shared" ca="1" si="211"/>
        <v>-0.78233628362249674</v>
      </c>
      <c r="E484" s="307">
        <f t="shared" ca="1" si="212"/>
        <v>-4.0490082324847165</v>
      </c>
      <c r="F484" s="304">
        <f t="shared" ca="1" si="213"/>
        <v>4.1238959404186311</v>
      </c>
      <c r="G484" s="306">
        <f t="shared" ca="1" si="214"/>
        <v>14.635437024357728</v>
      </c>
      <c r="H484" s="307">
        <f t="shared" ca="1" si="215"/>
        <v>-108.75387718384522</v>
      </c>
      <c r="I484" s="304">
        <f t="shared" ca="1" si="216"/>
        <v>109.73423266881137</v>
      </c>
      <c r="J484" s="306">
        <f t="shared" ca="1" si="217"/>
        <v>708.00605524129742</v>
      </c>
      <c r="K484" s="307">
        <f t="shared" ca="1" si="218"/>
        <v>411.61809727245986</v>
      </c>
      <c r="L484" s="304">
        <f t="shared" ca="1" si="203"/>
        <v>818.96399936782529</v>
      </c>
      <c r="M484" s="306">
        <f t="shared" ca="1" si="219"/>
        <v>-1.4370260629853444</v>
      </c>
      <c r="N484" s="304">
        <f t="shared" ca="1" si="220"/>
        <v>-82.335528459361043</v>
      </c>
      <c r="P484" s="310">
        <f t="shared" ca="1" si="221"/>
        <v>23</v>
      </c>
      <c r="Q484" s="304">
        <f t="shared" ca="1" si="222"/>
        <v>0</v>
      </c>
      <c r="R484" s="306">
        <f t="shared" ca="1" si="223"/>
        <v>0</v>
      </c>
      <c r="S484" s="307">
        <f t="shared" ca="1" si="224"/>
        <v>7.9769999999999968</v>
      </c>
      <c r="T484" s="304">
        <f t="shared" ca="1" si="204"/>
        <v>78.254369999999966</v>
      </c>
      <c r="U484" s="311">
        <f t="shared" ca="1" si="205"/>
        <v>0</v>
      </c>
      <c r="V484" s="306">
        <f t="shared" ca="1" si="206"/>
        <v>1.1755936112702261</v>
      </c>
      <c r="W484" s="304">
        <f t="shared" ca="1" si="207"/>
        <v>46.760065641204868</v>
      </c>
      <c r="Y484" s="314" t="str">
        <f t="shared" ca="1" si="225"/>
        <v/>
      </c>
      <c r="Z484" s="315" t="str">
        <f t="shared" ca="1" si="226"/>
        <v/>
      </c>
      <c r="AA484" s="316" t="str">
        <f t="shared" ca="1" si="227"/>
        <v/>
      </c>
      <c r="AC484" s="310">
        <f t="shared" ca="1" si="228"/>
        <v>30.00000000000016</v>
      </c>
      <c r="AD484" s="323">
        <f t="shared" ca="1" si="229"/>
        <v>708.00605524129742</v>
      </c>
      <c r="AE484" s="324" t="e">
        <f t="shared" ca="1" si="208"/>
        <v>#N/A</v>
      </c>
      <c r="AG484" s="306">
        <f t="shared" ca="1" si="230"/>
        <v>3.9069080971315797</v>
      </c>
      <c r="AH484" s="304">
        <f t="shared" ca="1" si="231"/>
        <v>-5.813869297296864</v>
      </c>
    </row>
    <row r="485" spans="1:34" x14ac:dyDescent="0.2">
      <c r="A485" s="347">
        <f t="shared" ca="1" si="209"/>
        <v>0.1</v>
      </c>
      <c r="B485" s="304">
        <f t="shared" ca="1" si="210"/>
        <v>30.100000000000161</v>
      </c>
      <c r="D485" s="306">
        <f t="shared" ca="1" si="211"/>
        <v>-0.78180615328079628</v>
      </c>
      <c r="E485" s="307">
        <f t="shared" ca="1" si="212"/>
        <v>-4.0005082688020783</v>
      </c>
      <c r="F485" s="304">
        <f t="shared" ca="1" si="213"/>
        <v>4.0761853822000678</v>
      </c>
      <c r="G485" s="306">
        <f t="shared" ca="1" si="214"/>
        <v>14.557256409029648</v>
      </c>
      <c r="H485" s="307">
        <f t="shared" ca="1" si="215"/>
        <v>-109.15392801072542</v>
      </c>
      <c r="I485" s="304">
        <f t="shared" ca="1" si="216"/>
        <v>110.12036012622218</v>
      </c>
      <c r="J485" s="306">
        <f t="shared" ca="1" si="217"/>
        <v>709.46568991296681</v>
      </c>
      <c r="K485" s="307">
        <f t="shared" ca="1" si="218"/>
        <v>400.72270701273135</v>
      </c>
      <c r="L485" s="304">
        <f t="shared" ca="1" si="203"/>
        <v>814.81301724953641</v>
      </c>
      <c r="M485" s="306">
        <f t="shared" ca="1" si="219"/>
        <v>-1.4382141959642794</v>
      </c>
      <c r="N485" s="304">
        <f t="shared" ca="1" si="220"/>
        <v>-82.403603464554322</v>
      </c>
      <c r="P485" s="310">
        <f t="shared" ca="1" si="221"/>
        <v>23</v>
      </c>
      <c r="Q485" s="304">
        <f t="shared" ca="1" si="222"/>
        <v>0</v>
      </c>
      <c r="R485" s="306">
        <f t="shared" ca="1" si="223"/>
        <v>0</v>
      </c>
      <c r="S485" s="307">
        <f t="shared" ca="1" si="224"/>
        <v>7.9769999999999968</v>
      </c>
      <c r="T485" s="304">
        <f t="shared" ca="1" si="204"/>
        <v>78.254369999999966</v>
      </c>
      <c r="U485" s="311">
        <f t="shared" ca="1" si="205"/>
        <v>0</v>
      </c>
      <c r="V485" s="306">
        <f t="shared" ca="1" si="206"/>
        <v>1.1768756935094411</v>
      </c>
      <c r="W485" s="304">
        <f t="shared" ca="1" si="207"/>
        <v>47.141073915521559</v>
      </c>
      <c r="Y485" s="314" t="str">
        <f t="shared" ca="1" si="225"/>
        <v/>
      </c>
      <c r="Z485" s="315" t="str">
        <f t="shared" ca="1" si="226"/>
        <v/>
      </c>
      <c r="AA485" s="316" t="str">
        <f t="shared" ca="1" si="227"/>
        <v/>
      </c>
      <c r="AC485" s="310" t="e">
        <f t="shared" ca="1" si="228"/>
        <v>#N/A</v>
      </c>
      <c r="AD485" s="323" t="e">
        <f t="shared" ca="1" si="229"/>
        <v>#N/A</v>
      </c>
      <c r="AE485" s="324" t="e">
        <f t="shared" ca="1" si="208"/>
        <v>#N/A</v>
      </c>
      <c r="AG485" s="306">
        <f t="shared" ca="1" si="230"/>
        <v>3.8604973116749699</v>
      </c>
      <c r="AH485" s="304">
        <f t="shared" ca="1" si="231"/>
        <v>-5.8618610556857069</v>
      </c>
    </row>
    <row r="486" spans="1:34" x14ac:dyDescent="0.2">
      <c r="A486" s="347">
        <f t="shared" ca="1" si="209"/>
        <v>0.1</v>
      </c>
      <c r="B486" s="304">
        <f t="shared" ca="1" si="210"/>
        <v>30.200000000000163</v>
      </c>
      <c r="D486" s="306">
        <f t="shared" ca="1" si="211"/>
        <v>-0.78121718557095621</v>
      </c>
      <c r="E486" s="307">
        <f t="shared" ca="1" si="212"/>
        <v>-3.9522393039899884</v>
      </c>
      <c r="F486" s="304">
        <f t="shared" ca="1" si="213"/>
        <v>4.0287089504001994</v>
      </c>
      <c r="G486" s="306">
        <f t="shared" ca="1" si="214"/>
        <v>14.479134690472552</v>
      </c>
      <c r="H486" s="307">
        <f t="shared" ca="1" si="215"/>
        <v>-109.54915194112442</v>
      </c>
      <c r="I486" s="304">
        <f t="shared" ca="1" si="216"/>
        <v>110.50186438429176</v>
      </c>
      <c r="J486" s="306">
        <f t="shared" ca="1" si="217"/>
        <v>710.91750946794195</v>
      </c>
      <c r="K486" s="307">
        <f t="shared" ca="1" si="218"/>
        <v>389.78755301513888</v>
      </c>
      <c r="L486" s="304">
        <f t="shared" ca="1" si="203"/>
        <v>810.76386312762554</v>
      </c>
      <c r="M486" s="306">
        <f t="shared" ca="1" si="219"/>
        <v>-1.4393877724798216</v>
      </c>
      <c r="N486" s="304">
        <f t="shared" ca="1" si="220"/>
        <v>-82.470844445830565</v>
      </c>
      <c r="P486" s="310">
        <f t="shared" ca="1" si="221"/>
        <v>23</v>
      </c>
      <c r="Q486" s="304">
        <f t="shared" ca="1" si="222"/>
        <v>0</v>
      </c>
      <c r="R486" s="306">
        <f t="shared" ca="1" si="223"/>
        <v>0</v>
      </c>
      <c r="S486" s="307">
        <f t="shared" ca="1" si="224"/>
        <v>7.9769999999999968</v>
      </c>
      <c r="T486" s="304">
        <f t="shared" ca="1" si="204"/>
        <v>78.254369999999966</v>
      </c>
      <c r="U486" s="311">
        <f t="shared" ca="1" si="205"/>
        <v>0</v>
      </c>
      <c r="V486" s="306">
        <f t="shared" ca="1" si="206"/>
        <v>1.1781638325115422</v>
      </c>
      <c r="W486" s="304">
        <f t="shared" ca="1" si="207"/>
        <v>47.520229582794578</v>
      </c>
      <c r="Y486" s="314" t="str">
        <f t="shared" ca="1" si="225"/>
        <v/>
      </c>
      <c r="Z486" s="315" t="str">
        <f t="shared" ca="1" si="226"/>
        <v/>
      </c>
      <c r="AA486" s="316" t="str">
        <f t="shared" ca="1" si="227"/>
        <v/>
      </c>
      <c r="AC486" s="310" t="e">
        <f t="shared" ca="1" si="228"/>
        <v>#N/A</v>
      </c>
      <c r="AD486" s="323" t="e">
        <f t="shared" ca="1" si="229"/>
        <v>#N/A</v>
      </c>
      <c r="AE486" s="324" t="e">
        <f t="shared" ca="1" si="208"/>
        <v>#N/A</v>
      </c>
      <c r="AG486" s="306">
        <f t="shared" ca="1" si="230"/>
        <v>3.8142816197289848</v>
      </c>
      <c r="AH486" s="304">
        <f t="shared" ca="1" si="231"/>
        <v>-5.909624409617849</v>
      </c>
    </row>
    <row r="487" spans="1:34" x14ac:dyDescent="0.2">
      <c r="A487" s="347">
        <f t="shared" ca="1" si="209"/>
        <v>0.1</v>
      </c>
      <c r="B487" s="304">
        <f t="shared" ca="1" si="210"/>
        <v>30.300000000000164</v>
      </c>
      <c r="D487" s="306">
        <f t="shared" ca="1" si="211"/>
        <v>-0.78057015260629437</v>
      </c>
      <c r="E487" s="307">
        <f t="shared" ca="1" si="212"/>
        <v>-3.9042052079368599</v>
      </c>
      <c r="F487" s="304">
        <f t="shared" ca="1" si="213"/>
        <v>3.9814705912289634</v>
      </c>
      <c r="G487" s="306">
        <f t="shared" ca="1" si="214"/>
        <v>14.401077675211923</v>
      </c>
      <c r="H487" s="307">
        <f t="shared" ca="1" si="215"/>
        <v>-109.9395724619181</v>
      </c>
      <c r="I487" s="304">
        <f t="shared" ca="1" si="216"/>
        <v>110.87876546623717</v>
      </c>
      <c r="J487" s="306">
        <f t="shared" ca="1" si="217"/>
        <v>712.36152008622616</v>
      </c>
      <c r="K487" s="307">
        <f t="shared" ca="1" si="218"/>
        <v>378.81311679498674</v>
      </c>
      <c r="L487" s="304">
        <f t="shared" ca="1" si="203"/>
        <v>806.81987627691171</v>
      </c>
      <c r="M487" s="306">
        <f t="shared" ca="1" si="219"/>
        <v>-1.4405470668463367</v>
      </c>
      <c r="N487" s="304">
        <f t="shared" ca="1" si="220"/>
        <v>-82.537267120245176</v>
      </c>
      <c r="P487" s="310">
        <f t="shared" ca="1" si="221"/>
        <v>23</v>
      </c>
      <c r="Q487" s="304">
        <f t="shared" ca="1" si="222"/>
        <v>0</v>
      </c>
      <c r="R487" s="306">
        <f t="shared" ca="1" si="223"/>
        <v>0</v>
      </c>
      <c r="S487" s="307">
        <f t="shared" ca="1" si="224"/>
        <v>7.9769999999999968</v>
      </c>
      <c r="T487" s="304">
        <f t="shared" ca="1" si="204"/>
        <v>78.254369999999966</v>
      </c>
      <c r="U487" s="311">
        <f t="shared" ca="1" si="205"/>
        <v>0</v>
      </c>
      <c r="V487" s="306">
        <f t="shared" ca="1" si="206"/>
        <v>1.179457988753877</v>
      </c>
      <c r="W487" s="304">
        <f t="shared" ca="1" si="207"/>
        <v>47.897502923071237</v>
      </c>
      <c r="Y487" s="314" t="str">
        <f t="shared" ca="1" si="225"/>
        <v/>
      </c>
      <c r="Z487" s="315" t="str">
        <f t="shared" ca="1" si="226"/>
        <v/>
      </c>
      <c r="AA487" s="316" t="str">
        <f t="shared" ca="1" si="227"/>
        <v/>
      </c>
      <c r="AC487" s="310" t="e">
        <f t="shared" ca="1" si="228"/>
        <v>#N/A</v>
      </c>
      <c r="AD487" s="323" t="e">
        <f t="shared" ca="1" si="229"/>
        <v>#N/A</v>
      </c>
      <c r="AE487" s="324" t="e">
        <f t="shared" ca="1" si="208"/>
        <v>#N/A</v>
      </c>
      <c r="AG487" s="306">
        <f t="shared" ca="1" si="230"/>
        <v>3.7682657345087076</v>
      </c>
      <c r="AH487" s="304">
        <f t="shared" ca="1" si="231"/>
        <v>-5.9571555199692359</v>
      </c>
    </row>
    <row r="488" spans="1:34" x14ac:dyDescent="0.2">
      <c r="A488" s="347">
        <f t="shared" ca="1" si="209"/>
        <v>0.1</v>
      </c>
      <c r="B488" s="304">
        <f t="shared" ca="1" si="210"/>
        <v>30.400000000000166</v>
      </c>
      <c r="D488" s="306">
        <f t="shared" ca="1" si="211"/>
        <v>-0.77986582915972391</v>
      </c>
      <c r="E488" s="307">
        <f t="shared" ca="1" si="212"/>
        <v>-3.8564097361923517</v>
      </c>
      <c r="F488" s="304">
        <f t="shared" ca="1" si="213"/>
        <v>3.9344741408338355</v>
      </c>
      <c r="G488" s="306">
        <f t="shared" ca="1" si="214"/>
        <v>14.32309109229595</v>
      </c>
      <c r="H488" s="307">
        <f t="shared" ca="1" si="215"/>
        <v>-110.32521343553734</v>
      </c>
      <c r="I488" s="304">
        <f t="shared" ca="1" si="216"/>
        <v>111.25108385105773</v>
      </c>
      <c r="J488" s="306">
        <f t="shared" ca="1" si="217"/>
        <v>713.79772852460155</v>
      </c>
      <c r="K488" s="307">
        <f t="shared" ca="1" si="218"/>
        <v>367.79987750011395</v>
      </c>
      <c r="L488" s="304">
        <f t="shared" ca="1" si="203"/>
        <v>802.98440030674294</v>
      </c>
      <c r="M488" s="306">
        <f t="shared" ca="1" si="219"/>
        <v>-1.4416923462817381</v>
      </c>
      <c r="N488" s="304">
        <f t="shared" ca="1" si="220"/>
        <v>-82.602886798256804</v>
      </c>
      <c r="P488" s="310">
        <f t="shared" ca="1" si="221"/>
        <v>23</v>
      </c>
      <c r="Q488" s="304">
        <f t="shared" ca="1" si="222"/>
        <v>0</v>
      </c>
      <c r="R488" s="306">
        <f t="shared" ca="1" si="223"/>
        <v>0</v>
      </c>
      <c r="S488" s="307">
        <f t="shared" ca="1" si="224"/>
        <v>7.9769999999999968</v>
      </c>
      <c r="T488" s="304">
        <f t="shared" ca="1" si="204"/>
        <v>78.254369999999966</v>
      </c>
      <c r="U488" s="311">
        <f t="shared" ca="1" si="205"/>
        <v>0</v>
      </c>
      <c r="V488" s="306">
        <f t="shared" ca="1" si="206"/>
        <v>1.1807581228559343</v>
      </c>
      <c r="W488" s="304">
        <f t="shared" ca="1" si="207"/>
        <v>48.272865114954705</v>
      </c>
      <c r="Y488" s="314" t="str">
        <f t="shared" ca="1" si="225"/>
        <v/>
      </c>
      <c r="Z488" s="315" t="str">
        <f t="shared" ca="1" si="226"/>
        <v/>
      </c>
      <c r="AA488" s="316" t="str">
        <f t="shared" ca="1" si="227"/>
        <v/>
      </c>
      <c r="AC488" s="310" t="e">
        <f t="shared" ca="1" si="228"/>
        <v>#N/A</v>
      </c>
      <c r="AD488" s="323" t="e">
        <f t="shared" ca="1" si="229"/>
        <v>#N/A</v>
      </c>
      <c r="AE488" s="324" t="e">
        <f t="shared" ca="1" si="208"/>
        <v>#N/A</v>
      </c>
      <c r="AG488" s="306">
        <f t="shared" ca="1" si="230"/>
        <v>3.722454227529016</v>
      </c>
      <c r="AH488" s="304">
        <f t="shared" ca="1" si="231"/>
        <v>-6.0044506610343804</v>
      </c>
    </row>
    <row r="489" spans="1:34" x14ac:dyDescent="0.2">
      <c r="A489" s="347">
        <f t="shared" ca="1" si="209"/>
        <v>0.1</v>
      </c>
      <c r="B489" s="304">
        <f t="shared" ca="1" si="210"/>
        <v>30.500000000000167</v>
      </c>
      <c r="D489" s="306">
        <f t="shared" ca="1" si="211"/>
        <v>-0.77910499233546826</v>
      </c>
      <c r="E489" s="307">
        <f t="shared" ca="1" si="212"/>
        <v>-3.8088565307431201</v>
      </c>
      <c r="F489" s="304">
        <f t="shared" ca="1" si="213"/>
        <v>3.887723326172603</v>
      </c>
      <c r="G489" s="306">
        <f t="shared" ca="1" si="214"/>
        <v>14.245180593062404</v>
      </c>
      <c r="H489" s="307">
        <f t="shared" ca="1" si="215"/>
        <v>-110.70609908861165</v>
      </c>
      <c r="I489" s="304">
        <f t="shared" ca="1" si="216"/>
        <v>111.61884045960369</v>
      </c>
      <c r="J489" s="306">
        <f t="shared" ca="1" si="217"/>
        <v>715.22614210886945</v>
      </c>
      <c r="K489" s="307">
        <f t="shared" ca="1" si="218"/>
        <v>356.74831187390652</v>
      </c>
      <c r="L489" s="304">
        <f t="shared" ca="1" si="203"/>
        <v>799.26077870793756</v>
      </c>
      <c r="M489" s="306">
        <f t="shared" ca="1" si="219"/>
        <v>-1.4428238711331489</v>
      </c>
      <c r="N489" s="304">
        <f t="shared" ca="1" si="220"/>
        <v>-82.667718396656809</v>
      </c>
      <c r="P489" s="310">
        <f t="shared" ca="1" si="221"/>
        <v>23</v>
      </c>
      <c r="Q489" s="304">
        <f t="shared" ca="1" si="222"/>
        <v>0</v>
      </c>
      <c r="R489" s="306">
        <f t="shared" ca="1" si="223"/>
        <v>0</v>
      </c>
      <c r="S489" s="307">
        <f t="shared" ca="1" si="224"/>
        <v>7.9769999999999968</v>
      </c>
      <c r="T489" s="304">
        <f t="shared" ca="1" si="204"/>
        <v>78.254369999999966</v>
      </c>
      <c r="U489" s="311">
        <f t="shared" ca="1" si="205"/>
        <v>0</v>
      </c>
      <c r="V489" s="306">
        <f t="shared" ca="1" si="206"/>
        <v>1.1820641955826876</v>
      </c>
      <c r="W489" s="304">
        <f t="shared" ca="1" si="207"/>
        <v>48.646288229133468</v>
      </c>
      <c r="Y489" s="314" t="str">
        <f t="shared" ca="1" si="225"/>
        <v/>
      </c>
      <c r="Z489" s="315" t="str">
        <f t="shared" ca="1" si="226"/>
        <v/>
      </c>
      <c r="AA489" s="316" t="str">
        <f t="shared" ca="1" si="227"/>
        <v/>
      </c>
      <c r="AC489" s="310" t="e">
        <f t="shared" ca="1" si="228"/>
        <v>#N/A</v>
      </c>
      <c r="AD489" s="323" t="e">
        <f t="shared" ca="1" si="229"/>
        <v>#N/A</v>
      </c>
      <c r="AE489" s="324" t="e">
        <f t="shared" ca="1" si="208"/>
        <v>#N/A</v>
      </c>
      <c r="AG489" s="306">
        <f t="shared" ca="1" si="230"/>
        <v>3.6768515304671565</v>
      </c>
      <c r="AH489" s="304">
        <f t="shared" ca="1" si="231"/>
        <v>-6.0515062197511247</v>
      </c>
    </row>
    <row r="490" spans="1:34" x14ac:dyDescent="0.2">
      <c r="A490" s="347">
        <f t="shared" ca="1" si="209"/>
        <v>0.1</v>
      </c>
      <c r="B490" s="304">
        <f t="shared" ca="1" si="210"/>
        <v>30.600000000000168</v>
      </c>
      <c r="D490" s="306">
        <f t="shared" ca="1" si="211"/>
        <v>-0.77828842124721209</v>
      </c>
      <c r="E490" s="307">
        <f t="shared" ca="1" si="212"/>
        <v>-3.7615491208251335</v>
      </c>
      <c r="F490" s="304">
        <f t="shared" ca="1" si="213"/>
        <v>3.8412217659265409</v>
      </c>
      <c r="G490" s="306">
        <f t="shared" ca="1" si="214"/>
        <v>14.167351750937684</v>
      </c>
      <c r="H490" s="307">
        <f t="shared" ca="1" si="215"/>
        <v>-111.08225400069416</v>
      </c>
      <c r="I490" s="304">
        <f t="shared" ca="1" si="216"/>
        <v>111.98205664082765</v>
      </c>
      <c r="J490" s="306">
        <f t="shared" ca="1" si="217"/>
        <v>716.64676872606947</v>
      </c>
      <c r="K490" s="307">
        <f t="shared" ca="1" si="218"/>
        <v>345.65889421944121</v>
      </c>
      <c r="L490" s="304">
        <f t="shared" ca="1" si="203"/>
        <v>795.65235013699498</v>
      </c>
      <c r="M490" s="306">
        <f t="shared" ca="1" si="219"/>
        <v>-1.443941895094113</v>
      </c>
      <c r="N490" s="304">
        <f t="shared" ca="1" si="220"/>
        <v>-82.731776451014539</v>
      </c>
      <c r="P490" s="310">
        <f t="shared" ca="1" si="221"/>
        <v>23</v>
      </c>
      <c r="Q490" s="304">
        <f t="shared" ca="1" si="222"/>
        <v>0</v>
      </c>
      <c r="R490" s="306">
        <f t="shared" ca="1" si="223"/>
        <v>0</v>
      </c>
      <c r="S490" s="307">
        <f t="shared" ca="1" si="224"/>
        <v>7.9769999999999968</v>
      </c>
      <c r="T490" s="304">
        <f t="shared" ca="1" si="204"/>
        <v>78.254369999999966</v>
      </c>
      <c r="U490" s="311">
        <f t="shared" ca="1" si="205"/>
        <v>0</v>
      </c>
      <c r="V490" s="306">
        <f t="shared" ca="1" si="206"/>
        <v>1.1833761678478625</v>
      </c>
      <c r="W490" s="304">
        <f t="shared" ca="1" si="207"/>
        <v>49.017745221634641</v>
      </c>
      <c r="Y490" s="314" t="str">
        <f t="shared" ca="1" si="225"/>
        <v/>
      </c>
      <c r="Z490" s="315" t="str">
        <f t="shared" ca="1" si="226"/>
        <v/>
      </c>
      <c r="AA490" s="316" t="str">
        <f t="shared" ca="1" si="227"/>
        <v/>
      </c>
      <c r="AC490" s="310" t="e">
        <f t="shared" ca="1" si="228"/>
        <v>#N/A</v>
      </c>
      <c r="AD490" s="323" t="e">
        <f t="shared" ca="1" si="229"/>
        <v>#N/A</v>
      </c>
      <c r="AE490" s="324" t="e">
        <f t="shared" ca="1" si="208"/>
        <v>#N/A</v>
      </c>
      <c r="AG490" s="306">
        <f t="shared" ca="1" si="230"/>
        <v>3.6314619370131256</v>
      </c>
      <c r="AH490" s="304">
        <f t="shared" ca="1" si="231"/>
        <v>-6.0983186948894934</v>
      </c>
    </row>
    <row r="491" spans="1:34" x14ac:dyDescent="0.2">
      <c r="A491" s="347">
        <f t="shared" ca="1" si="209"/>
        <v>0.1</v>
      </c>
      <c r="B491" s="304">
        <f t="shared" ca="1" si="210"/>
        <v>30.70000000000017</v>
      </c>
      <c r="D491" s="306">
        <f t="shared" ca="1" si="211"/>
        <v>-0.77741689670274494</v>
      </c>
      <c r="E491" s="307">
        <f t="shared" ca="1" si="212"/>
        <v>-3.7144909237712689</v>
      </c>
      <c r="F491" s="304">
        <f t="shared" ca="1" si="213"/>
        <v>3.7949729714529008</v>
      </c>
      <c r="G491" s="306">
        <f t="shared" ca="1" si="214"/>
        <v>14.089610061267409</v>
      </c>
      <c r="H491" s="307">
        <f t="shared" ca="1" si="215"/>
        <v>-111.4537030930713</v>
      </c>
      <c r="I491" s="304">
        <f t="shared" ca="1" si="216"/>
        <v>112.34075415821748</v>
      </c>
      <c r="J491" s="306">
        <f t="shared" ca="1" si="217"/>
        <v>718.05961681667975</v>
      </c>
      <c r="K491" s="307">
        <f t="shared" ca="1" si="218"/>
        <v>334.53209636475293</v>
      </c>
      <c r="L491" s="304">
        <f t="shared" ca="1" si="203"/>
        <v>792.16244344270285</v>
      </c>
      <c r="M491" s="306">
        <f t="shared" ca="1" si="219"/>
        <v>-1.4450466654137288</v>
      </c>
      <c r="N491" s="304">
        <f t="shared" ca="1" si="220"/>
        <v>-82.795075127659857</v>
      </c>
      <c r="P491" s="310">
        <f t="shared" ca="1" si="221"/>
        <v>23</v>
      </c>
      <c r="Q491" s="304">
        <f t="shared" ca="1" si="222"/>
        <v>0</v>
      </c>
      <c r="R491" s="306">
        <f t="shared" ca="1" si="223"/>
        <v>0</v>
      </c>
      <c r="S491" s="307">
        <f t="shared" ca="1" si="224"/>
        <v>7.9769999999999968</v>
      </c>
      <c r="T491" s="304">
        <f t="shared" ca="1" si="204"/>
        <v>78.254369999999966</v>
      </c>
      <c r="U491" s="311">
        <f t="shared" ca="1" si="205"/>
        <v>0</v>
      </c>
      <c r="V491" s="306">
        <f t="shared" ca="1" si="206"/>
        <v>1.1846940007171265</v>
      </c>
      <c r="W491" s="304">
        <f t="shared" ca="1" si="207"/>
        <v>49.387209926810861</v>
      </c>
      <c r="Y491" s="314" t="str">
        <f t="shared" ca="1" si="225"/>
        <v/>
      </c>
      <c r="Z491" s="315" t="str">
        <f t="shared" ca="1" si="226"/>
        <v/>
      </c>
      <c r="AA491" s="316" t="str">
        <f t="shared" ca="1" si="227"/>
        <v/>
      </c>
      <c r="AC491" s="310" t="e">
        <f t="shared" ca="1" si="228"/>
        <v>#N/A</v>
      </c>
      <c r="AD491" s="323" t="e">
        <f t="shared" ca="1" si="229"/>
        <v>#N/A</v>
      </c>
      <c r="AE491" s="324" t="e">
        <f t="shared" ca="1" si="208"/>
        <v>#N/A</v>
      </c>
      <c r="AG491" s="306">
        <f t="shared" ca="1" si="230"/>
        <v>3.5862896047088952</v>
      </c>
      <c r="AH491" s="304">
        <f t="shared" ca="1" si="231"/>
        <v>-6.1448846962059243</v>
      </c>
    </row>
    <row r="492" spans="1:34" x14ac:dyDescent="0.2">
      <c r="A492" s="347">
        <f t="shared" ca="1" si="209"/>
        <v>0.1</v>
      </c>
      <c r="B492" s="304">
        <f t="shared" ca="1" si="210"/>
        <v>30.800000000000171</v>
      </c>
      <c r="D492" s="306">
        <f t="shared" ca="1" si="211"/>
        <v>-0.77649120089504309</v>
      </c>
      <c r="E492" s="307">
        <f t="shared" ca="1" si="212"/>
        <v>-3.6676852458929092</v>
      </c>
      <c r="F492" s="304">
        <f t="shared" ca="1" si="213"/>
        <v>3.7489803477756398</v>
      </c>
      <c r="G492" s="306">
        <f t="shared" ca="1" si="214"/>
        <v>14.011960941177906</v>
      </c>
      <c r="H492" s="307">
        <f t="shared" ca="1" si="215"/>
        <v>-111.82047161766059</v>
      </c>
      <c r="I492" s="304">
        <f t="shared" ca="1" si="216"/>
        <v>112.69495517641032</v>
      </c>
      <c r="J492" s="306">
        <f t="shared" ca="1" si="217"/>
        <v>719.46469536680206</v>
      </c>
      <c r="K492" s="307">
        <f t="shared" ca="1" si="218"/>
        <v>323.36838762921633</v>
      </c>
      <c r="L492" s="304">
        <f t="shared" ca="1" si="203"/>
        <v>788.79437244263124</v>
      </c>
      <c r="M492" s="306">
        <f t="shared" ca="1" si="219"/>
        <v>-1.4461384230980423</v>
      </c>
      <c r="N492" s="304">
        <f t="shared" ca="1" si="220"/>
        <v>-82.857628235221995</v>
      </c>
      <c r="P492" s="310">
        <f t="shared" ca="1" si="221"/>
        <v>23</v>
      </c>
      <c r="Q492" s="304">
        <f t="shared" ca="1" si="222"/>
        <v>0</v>
      </c>
      <c r="R492" s="306">
        <f t="shared" ca="1" si="223"/>
        <v>0</v>
      </c>
      <c r="S492" s="307">
        <f t="shared" ca="1" si="224"/>
        <v>7.9769999999999968</v>
      </c>
      <c r="T492" s="304">
        <f t="shared" ca="1" si="204"/>
        <v>78.254369999999966</v>
      </c>
      <c r="U492" s="311">
        <f t="shared" ca="1" si="205"/>
        <v>0</v>
      </c>
      <c r="V492" s="306">
        <f t="shared" ca="1" si="206"/>
        <v>1.1860176554112054</v>
      </c>
      <c r="W492" s="304">
        <f t="shared" ca="1" si="207"/>
        <v>49.754657050072048</v>
      </c>
      <c r="Y492" s="314" t="str">
        <f t="shared" ca="1" si="225"/>
        <v/>
      </c>
      <c r="Z492" s="315" t="str">
        <f t="shared" ca="1" si="226"/>
        <v/>
      </c>
      <c r="AA492" s="316" t="str">
        <f t="shared" ca="1" si="227"/>
        <v/>
      </c>
      <c r="AC492" s="310" t="e">
        <f t="shared" ca="1" si="228"/>
        <v>#N/A</v>
      </c>
      <c r="AD492" s="323" t="e">
        <f t="shared" ca="1" si="229"/>
        <v>#N/A</v>
      </c>
      <c r="AE492" s="324" t="e">
        <f t="shared" ca="1" si="208"/>
        <v>#N/A</v>
      </c>
      <c r="AG492" s="306">
        <f t="shared" ca="1" si="230"/>
        <v>3.5413385567776068</v>
      </c>
      <c r="AH492" s="304">
        <f t="shared" ca="1" si="231"/>
        <v>-6.1912009435641071</v>
      </c>
    </row>
    <row r="493" spans="1:34" x14ac:dyDescent="0.2">
      <c r="A493" s="347">
        <f t="shared" ca="1" si="209"/>
        <v>0.1</v>
      </c>
      <c r="B493" s="304">
        <f t="shared" ca="1" si="210"/>
        <v>30.900000000000173</v>
      </c>
      <c r="D493" s="306">
        <f t="shared" ca="1" si="211"/>
        <v>-0.77551211709984935</v>
      </c>
      <c r="E493" s="307">
        <f t="shared" ca="1" si="212"/>
        <v>-3.6211352833941302</v>
      </c>
      <c r="F493" s="304">
        <f t="shared" ca="1" si="213"/>
        <v>3.7032471946132057</v>
      </c>
      <c r="G493" s="306">
        <f t="shared" ca="1" si="214"/>
        <v>13.934409729467921</v>
      </c>
      <c r="H493" s="307">
        <f t="shared" ca="1" si="215"/>
        <v>-112.18258514599999</v>
      </c>
      <c r="I493" s="304">
        <f t="shared" ca="1" si="216"/>
        <v>113.04468224798649</v>
      </c>
      <c r="J493" s="306">
        <f t="shared" ca="1" si="217"/>
        <v>720.86201390033432</v>
      </c>
      <c r="K493" s="307">
        <f t="shared" ca="1" si="218"/>
        <v>312.16823479103329</v>
      </c>
      <c r="L493" s="304">
        <f t="shared" ca="1" si="203"/>
        <v>785.55143045951843</v>
      </c>
      <c r="M493" s="306">
        <f t="shared" ca="1" si="219"/>
        <v>-1.4472174031040355</v>
      </c>
      <c r="N493" s="304">
        <f t="shared" ca="1" si="220"/>
        <v>-82.919449235744395</v>
      </c>
      <c r="P493" s="310">
        <f t="shared" ca="1" si="221"/>
        <v>23</v>
      </c>
      <c r="Q493" s="304">
        <f t="shared" ca="1" si="222"/>
        <v>0</v>
      </c>
      <c r="R493" s="306">
        <f t="shared" ca="1" si="223"/>
        <v>0</v>
      </c>
      <c r="S493" s="307">
        <f t="shared" ca="1" si="224"/>
        <v>7.9769999999999968</v>
      </c>
      <c r="T493" s="304">
        <f t="shared" ca="1" si="204"/>
        <v>78.254369999999966</v>
      </c>
      <c r="U493" s="311">
        <f t="shared" ca="1" si="205"/>
        <v>0</v>
      </c>
      <c r="V493" s="306">
        <f t="shared" ca="1" si="206"/>
        <v>1.1873470933089239</v>
      </c>
      <c r="W493" s="304">
        <f t="shared" ca="1" si="207"/>
        <v>50.120062160371546</v>
      </c>
      <c r="Y493" s="314" t="str">
        <f t="shared" ca="1" si="225"/>
        <v/>
      </c>
      <c r="Z493" s="315" t="str">
        <f t="shared" ca="1" si="226"/>
        <v/>
      </c>
      <c r="AA493" s="316" t="str">
        <f t="shared" ca="1" si="227"/>
        <v/>
      </c>
      <c r="AC493" s="310" t="e">
        <f t="shared" ca="1" si="228"/>
        <v>#N/A</v>
      </c>
      <c r="AD493" s="323" t="e">
        <f t="shared" ca="1" si="229"/>
        <v>#N/A</v>
      </c>
      <c r="AE493" s="324" t="e">
        <f t="shared" ca="1" si="208"/>
        <v>#N/A</v>
      </c>
      <c r="AG493" s="306">
        <f t="shared" ca="1" si="230"/>
        <v>3.4966126839434022</v>
      </c>
      <c r="AH493" s="304">
        <f t="shared" ca="1" si="231"/>
        <v>-6.2372642660238267</v>
      </c>
    </row>
    <row r="494" spans="1:34" x14ac:dyDescent="0.2">
      <c r="A494" s="347">
        <f t="shared" ca="1" si="209"/>
        <v>0.1</v>
      </c>
      <c r="B494" s="304">
        <f t="shared" ca="1" si="210"/>
        <v>31.000000000000174</v>
      </c>
      <c r="D494" s="306">
        <f t="shared" ca="1" si="211"/>
        <v>-0.77448042937968931</v>
      </c>
      <c r="E494" s="307">
        <f t="shared" ca="1" si="212"/>
        <v>-3.5748441233172246</v>
      </c>
      <c r="F494" s="304">
        <f t="shared" ca="1" si="213"/>
        <v>3.6577767074423559</v>
      </c>
      <c r="G494" s="306">
        <f t="shared" ca="1" si="214"/>
        <v>13.856961686529953</v>
      </c>
      <c r="H494" s="307">
        <f t="shared" ca="1" si="215"/>
        <v>-112.54006955833172</v>
      </c>
      <c r="I494" s="304">
        <f t="shared" ca="1" si="216"/>
        <v>113.38995830044254</v>
      </c>
      <c r="J494" s="306">
        <f t="shared" ca="1" si="217"/>
        <v>722.25158247113416</v>
      </c>
      <c r="K494" s="307">
        <f t="shared" ca="1" si="218"/>
        <v>300.9321020558167</v>
      </c>
      <c r="L494" s="304">
        <f t="shared" ca="1" si="203"/>
        <v>782.43688463018532</v>
      </c>
      <c r="M494" s="306">
        <f t="shared" ca="1" si="219"/>
        <v>-1.4482838345265179</v>
      </c>
      <c r="N494" s="304">
        <f t="shared" ca="1" si="220"/>
        <v>-82.980551255392768</v>
      </c>
      <c r="P494" s="310">
        <f t="shared" ca="1" si="221"/>
        <v>23</v>
      </c>
      <c r="Q494" s="304">
        <f t="shared" ca="1" si="222"/>
        <v>0</v>
      </c>
      <c r="R494" s="306">
        <f t="shared" ca="1" si="223"/>
        <v>0</v>
      </c>
      <c r="S494" s="307">
        <f t="shared" ca="1" si="224"/>
        <v>7.9769999999999968</v>
      </c>
      <c r="T494" s="304">
        <f t="shared" ca="1" si="204"/>
        <v>78.254369999999966</v>
      </c>
      <c r="U494" s="311">
        <f t="shared" ca="1" si="205"/>
        <v>0</v>
      </c>
      <c r="V494" s="306">
        <f t="shared" ca="1" si="206"/>
        <v>1.1886822759501725</v>
      </c>
      <c r="W494" s="304">
        <f t="shared" ca="1" si="207"/>
        <v>50.483401682457007</v>
      </c>
      <c r="Y494" s="314" t="str">
        <f t="shared" ca="1" si="225"/>
        <v/>
      </c>
      <c r="Z494" s="315" t="str">
        <f t="shared" ca="1" si="226"/>
        <v/>
      </c>
      <c r="AA494" s="316" t="str">
        <f t="shared" ca="1" si="227"/>
        <v/>
      </c>
      <c r="AC494" s="310">
        <f t="shared" ca="1" si="228"/>
        <v>31.000000000000174</v>
      </c>
      <c r="AD494" s="323">
        <f t="shared" ca="1" si="229"/>
        <v>722.25158247113416</v>
      </c>
      <c r="AE494" s="324" t="e">
        <f t="shared" ca="1" si="208"/>
        <v>#N/A</v>
      </c>
      <c r="AG494" s="306">
        <f t="shared" ca="1" si="230"/>
        <v>3.4521157462427388</v>
      </c>
      <c r="AH494" s="304">
        <f t="shared" ca="1" si="231"/>
        <v>-6.2830716008990306</v>
      </c>
    </row>
    <row r="495" spans="1:34" x14ac:dyDescent="0.2">
      <c r="A495" s="347">
        <f t="shared" ca="1" si="209"/>
        <v>0.1</v>
      </c>
      <c r="B495" s="304">
        <f t="shared" ca="1" si="210"/>
        <v>31.100000000000176</v>
      </c>
      <c r="D495" s="306">
        <f t="shared" ca="1" si="211"/>
        <v>-0.77339692229436341</v>
      </c>
      <c r="E495" s="307">
        <f t="shared" ca="1" si="212"/>
        <v>-3.52881474451826</v>
      </c>
      <c r="F495" s="304">
        <f t="shared" ca="1" si="213"/>
        <v>3.6125719785969479</v>
      </c>
      <c r="G495" s="306">
        <f t="shared" ca="1" si="214"/>
        <v>13.779621994300516</v>
      </c>
      <c r="H495" s="307">
        <f t="shared" ca="1" si="215"/>
        <v>-112.89295103278354</v>
      </c>
      <c r="I495" s="304">
        <f t="shared" ca="1" si="216"/>
        <v>113.73080662334316</v>
      </c>
      <c r="J495" s="306">
        <f t="shared" ca="1" si="217"/>
        <v>723.63341165517568</v>
      </c>
      <c r="K495" s="307">
        <f t="shared" ca="1" si="218"/>
        <v>289.66045102626094</v>
      </c>
      <c r="L495" s="304">
        <f t="shared" ca="1" si="203"/>
        <v>779.4539700023638</v>
      </c>
      <c r="M495" s="306">
        <f t="shared" ca="1" si="219"/>
        <v>-1.4493379407782225</v>
      </c>
      <c r="N495" s="304">
        <f t="shared" ca="1" si="220"/>
        <v>-83.040947094773799</v>
      </c>
      <c r="P495" s="310">
        <f t="shared" ca="1" si="221"/>
        <v>23</v>
      </c>
      <c r="Q495" s="304">
        <f t="shared" ca="1" si="222"/>
        <v>0</v>
      </c>
      <c r="R495" s="306">
        <f t="shared" ca="1" si="223"/>
        <v>0</v>
      </c>
      <c r="S495" s="307">
        <f t="shared" ca="1" si="224"/>
        <v>7.9769999999999968</v>
      </c>
      <c r="T495" s="304">
        <f t="shared" ca="1" si="204"/>
        <v>78.254369999999966</v>
      </c>
      <c r="U495" s="311">
        <f t="shared" ca="1" si="205"/>
        <v>0</v>
      </c>
      <c r="V495" s="306">
        <f t="shared" ca="1" si="206"/>
        <v>1.1900231650387996</v>
      </c>
      <c r="W495" s="304">
        <f t="shared" ca="1" si="207"/>
        <v>50.844652888896547</v>
      </c>
      <c r="Y495" s="314" t="str">
        <f t="shared" ca="1" si="225"/>
        <v/>
      </c>
      <c r="Z495" s="315" t="str">
        <f t="shared" ca="1" si="226"/>
        <v/>
      </c>
      <c r="AA495" s="316" t="str">
        <f t="shared" ca="1" si="227"/>
        <v/>
      </c>
      <c r="AC495" s="310" t="e">
        <f t="shared" ca="1" si="228"/>
        <v>#N/A</v>
      </c>
      <c r="AD495" s="323" t="e">
        <f t="shared" ca="1" si="229"/>
        <v>#N/A</v>
      </c>
      <c r="AE495" s="324" t="e">
        <f t="shared" ca="1" si="208"/>
        <v>#N/A</v>
      </c>
      <c r="AG495" s="306">
        <f t="shared" ca="1" si="230"/>
        <v>3.4078513748278745</v>
      </c>
      <c r="AH495" s="304">
        <f t="shared" ca="1" si="231"/>
        <v>-6.3286199927863898</v>
      </c>
    </row>
    <row r="496" spans="1:34" x14ac:dyDescent="0.2">
      <c r="A496" s="347">
        <f t="shared" ca="1" si="209"/>
        <v>0.1</v>
      </c>
      <c r="B496" s="304">
        <f t="shared" ca="1" si="210"/>
        <v>31.200000000000177</v>
      </c>
      <c r="D496" s="306">
        <f t="shared" ca="1" si="211"/>
        <v>-0.77226238061788532</v>
      </c>
      <c r="E496" s="307">
        <f t="shared" ca="1" si="212"/>
        <v>-3.4830500186713307</v>
      </c>
      <c r="F496" s="304">
        <f t="shared" ca="1" si="213"/>
        <v>3.5676359984006161</v>
      </c>
      <c r="G496" s="306">
        <f t="shared" ca="1" si="214"/>
        <v>13.702395756238728</v>
      </c>
      <c r="H496" s="307">
        <f t="shared" ca="1" si="215"/>
        <v>-113.24125603465068</v>
      </c>
      <c r="I496" s="304">
        <f t="shared" ca="1" si="216"/>
        <v>114.06725085565049</v>
      </c>
      <c r="J496" s="306">
        <f t="shared" ca="1" si="217"/>
        <v>725.00751254270267</v>
      </c>
      <c r="K496" s="307">
        <f t="shared" ca="1" si="218"/>
        <v>278.35374067288922</v>
      </c>
      <c r="L496" s="304">
        <f t="shared" ca="1" si="203"/>
        <v>776.60588343763357</v>
      </c>
      <c r="M496" s="306">
        <f t="shared" ca="1" si="219"/>
        <v>-1.4503799397633896</v>
      </c>
      <c r="N496" s="304">
        <f t="shared" ca="1" si="220"/>
        <v>-83.100649238880791</v>
      </c>
      <c r="P496" s="310">
        <f t="shared" ca="1" si="221"/>
        <v>23</v>
      </c>
      <c r="Q496" s="304">
        <f t="shared" ca="1" si="222"/>
        <v>0</v>
      </c>
      <c r="R496" s="306">
        <f t="shared" ca="1" si="223"/>
        <v>0</v>
      </c>
      <c r="S496" s="307">
        <f t="shared" ca="1" si="224"/>
        <v>7.9769999999999968</v>
      </c>
      <c r="T496" s="304">
        <f t="shared" ca="1" si="204"/>
        <v>78.254369999999966</v>
      </c>
      <c r="U496" s="311">
        <f t="shared" ca="1" si="205"/>
        <v>0</v>
      </c>
      <c r="V496" s="306">
        <f t="shared" ca="1" si="206"/>
        <v>1.19136972244543</v>
      </c>
      <c r="W496" s="304">
        <f t="shared" ca="1" si="207"/>
        <v>51.20379389188917</v>
      </c>
      <c r="Y496" s="314" t="str">
        <f t="shared" ca="1" si="225"/>
        <v/>
      </c>
      <c r="Z496" s="315" t="str">
        <f t="shared" ca="1" si="226"/>
        <v/>
      </c>
      <c r="AA496" s="316" t="str">
        <f t="shared" ca="1" si="227"/>
        <v/>
      </c>
      <c r="AC496" s="310" t="e">
        <f t="shared" ca="1" si="228"/>
        <v>#N/A</v>
      </c>
      <c r="AD496" s="323" t="e">
        <f t="shared" ca="1" si="229"/>
        <v>#N/A</v>
      </c>
      <c r="AE496" s="324" t="e">
        <f t="shared" ca="1" si="208"/>
        <v>#N/A</v>
      </c>
      <c r="AG496" s="306">
        <f t="shared" ca="1" si="230"/>
        <v>3.3638230737628732</v>
      </c>
      <c r="AH496" s="304">
        <f t="shared" ca="1" si="231"/>
        <v>-6.3739065925656977</v>
      </c>
    </row>
    <row r="497" spans="1:34" x14ac:dyDescent="0.2">
      <c r="A497" s="347">
        <f t="shared" ca="1" si="209"/>
        <v>0.1</v>
      </c>
      <c r="B497" s="304">
        <f t="shared" ca="1" si="210"/>
        <v>31.300000000000178</v>
      </c>
      <c r="D497" s="306">
        <f t="shared" ca="1" si="211"/>
        <v>-0.77107758906184432</v>
      </c>
      <c r="E497" s="307">
        <f t="shared" ca="1" si="212"/>
        <v>-3.4375527113003201</v>
      </c>
      <c r="F497" s="304">
        <f t="shared" ca="1" si="213"/>
        <v>3.5229716563324218</v>
      </c>
      <c r="G497" s="306">
        <f t="shared" ca="1" si="214"/>
        <v>13.625287997332544</v>
      </c>
      <c r="H497" s="307">
        <f t="shared" ca="1" si="215"/>
        <v>-113.58501130578071</v>
      </c>
      <c r="I497" s="304">
        <f t="shared" ca="1" si="216"/>
        <v>114.39931497323131</v>
      </c>
      <c r="J497" s="306">
        <f t="shared" ca="1" si="217"/>
        <v>726.37389673038126</v>
      </c>
      <c r="K497" s="307">
        <f t="shared" ca="1" si="218"/>
        <v>267.01242730586762</v>
      </c>
      <c r="L497" s="304">
        <f t="shared" ca="1" si="203"/>
        <v>773.8957773415292</v>
      </c>
      <c r="M497" s="306">
        <f t="shared" ca="1" si="219"/>
        <v>-1.4514100440451081</v>
      </c>
      <c r="N497" s="304">
        <f t="shared" ca="1" si="220"/>
        <v>-83.159669866681611</v>
      </c>
      <c r="P497" s="310">
        <f t="shared" ca="1" si="221"/>
        <v>23</v>
      </c>
      <c r="Q497" s="304">
        <f t="shared" ca="1" si="222"/>
        <v>0</v>
      </c>
      <c r="R497" s="306">
        <f t="shared" ca="1" si="223"/>
        <v>0</v>
      </c>
      <c r="S497" s="307">
        <f t="shared" ca="1" si="224"/>
        <v>7.9769999999999968</v>
      </c>
      <c r="T497" s="304">
        <f t="shared" ca="1" si="204"/>
        <v>78.254369999999966</v>
      </c>
      <c r="U497" s="311">
        <f t="shared" ca="1" si="205"/>
        <v>0</v>
      </c>
      <c r="V497" s="306">
        <f t="shared" ca="1" si="206"/>
        <v>1.1927219102102098</v>
      </c>
      <c r="W497" s="304">
        <f t="shared" ca="1" si="207"/>
        <v>51.560803634870588</v>
      </c>
      <c r="Y497" s="314" t="str">
        <f t="shared" ca="1" si="225"/>
        <v/>
      </c>
      <c r="Z497" s="315" t="str">
        <f t="shared" ca="1" si="226"/>
        <v/>
      </c>
      <c r="AA497" s="316" t="str">
        <f t="shared" ca="1" si="227"/>
        <v/>
      </c>
      <c r="AC497" s="310" t="e">
        <f t="shared" ca="1" si="228"/>
        <v>#N/A</v>
      </c>
      <c r="AD497" s="323" t="e">
        <f t="shared" ca="1" si="229"/>
        <v>#N/A</v>
      </c>
      <c r="AE497" s="324" t="e">
        <f t="shared" ca="1" si="208"/>
        <v>#N/A</v>
      </c>
      <c r="AG497" s="306">
        <f t="shared" ca="1" si="230"/>
        <v>3.3200342218128913</v>
      </c>
      <c r="AH497" s="304">
        <f t="shared" ca="1" si="231"/>
        <v>-6.4189286563732217</v>
      </c>
    </row>
    <row r="498" spans="1:34" x14ac:dyDescent="0.2">
      <c r="A498" s="347">
        <f t="shared" ca="1" si="209"/>
        <v>0.1</v>
      </c>
      <c r="B498" s="304">
        <f t="shared" ca="1" si="210"/>
        <v>31.40000000000018</v>
      </c>
      <c r="D498" s="306">
        <f t="shared" ca="1" si="211"/>
        <v>-0.7698433320052005</v>
      </c>
      <c r="E498" s="307">
        <f t="shared" ca="1" si="212"/>
        <v>-3.3923254828368012</v>
      </c>
      <c r="F498" s="304">
        <f t="shared" ca="1" si="213"/>
        <v>3.4785817422243803</v>
      </c>
      <c r="G498" s="306">
        <f t="shared" ca="1" si="214"/>
        <v>13.548303664132023</v>
      </c>
      <c r="H498" s="307">
        <f t="shared" ca="1" si="215"/>
        <v>-113.92424385406439</v>
      </c>
      <c r="I498" s="304">
        <f t="shared" ca="1" si="216"/>
        <v>114.72702327654048</v>
      </c>
      <c r="J498" s="306">
        <f t="shared" ca="1" si="217"/>
        <v>727.7325763134545</v>
      </c>
      <c r="K498" s="307">
        <f t="shared" ca="1" si="218"/>
        <v>255.63696454787535</v>
      </c>
      <c r="L498" s="304">
        <f t="shared" ca="1" si="203"/>
        <v>771.32675324473837</v>
      </c>
      <c r="M498" s="306">
        <f t="shared" ca="1" si="219"/>
        <v>-1.4524284610066733</v>
      </c>
      <c r="N498" s="304">
        <f t="shared" ca="1" si="220"/>
        <v>-83.218020860363836</v>
      </c>
      <c r="P498" s="310">
        <f t="shared" ca="1" si="221"/>
        <v>23</v>
      </c>
      <c r="Q498" s="304">
        <f t="shared" ca="1" si="222"/>
        <v>0</v>
      </c>
      <c r="R498" s="306">
        <f t="shared" ca="1" si="223"/>
        <v>0</v>
      </c>
      <c r="S498" s="307">
        <f t="shared" ca="1" si="224"/>
        <v>7.9769999999999968</v>
      </c>
      <c r="T498" s="304">
        <f t="shared" ca="1" si="204"/>
        <v>78.254369999999966</v>
      </c>
      <c r="U498" s="311">
        <f t="shared" ca="1" si="205"/>
        <v>0</v>
      </c>
      <c r="V498" s="306">
        <f t="shared" ca="1" si="206"/>
        <v>1.1940796905454769</v>
      </c>
      <c r="W498" s="304">
        <f t="shared" ca="1" si="207"/>
        <v>51.915661883923072</v>
      </c>
      <c r="Y498" s="314" t="str">
        <f t="shared" ca="1" si="225"/>
        <v/>
      </c>
      <c r="Z498" s="315" t="str">
        <f t="shared" ca="1" si="226"/>
        <v/>
      </c>
      <c r="AA498" s="316" t="str">
        <f t="shared" ca="1" si="227"/>
        <v/>
      </c>
      <c r="AC498" s="310" t="e">
        <f t="shared" ca="1" si="228"/>
        <v>#N/A</v>
      </c>
      <c r="AD498" s="323" t="e">
        <f t="shared" ca="1" si="229"/>
        <v>#N/A</v>
      </c>
      <c r="AE498" s="324" t="e">
        <f t="shared" ca="1" si="208"/>
        <v>#N/A</v>
      </c>
      <c r="AG498" s="306">
        <f t="shared" ca="1" si="230"/>
        <v>3.2764880742268119</v>
      </c>
      <c r="AH498" s="304">
        <f t="shared" ca="1" si="231"/>
        <v>-6.4636835445494061</v>
      </c>
    </row>
    <row r="499" spans="1:34" x14ac:dyDescent="0.2">
      <c r="A499" s="347">
        <f t="shared" ca="1" si="209"/>
        <v>0.1</v>
      </c>
      <c r="B499" s="304">
        <f t="shared" ca="1" si="210"/>
        <v>31.500000000000181</v>
      </c>
      <c r="D499" s="306">
        <f t="shared" ca="1" si="211"/>
        <v>-0.76856039323047298</v>
      </c>
      <c r="E499" s="307">
        <f t="shared" ca="1" si="212"/>
        <v>-3.3473708897029324</v>
      </c>
      <c r="F499" s="304">
        <f t="shared" ca="1" si="213"/>
        <v>3.4344689474900161</v>
      </c>
      <c r="G499" s="306">
        <f t="shared" ca="1" si="214"/>
        <v>13.471447624808976</v>
      </c>
      <c r="H499" s="307">
        <f t="shared" ca="1" si="215"/>
        <v>-114.25898094303469</v>
      </c>
      <c r="I499" s="304">
        <f t="shared" ca="1" si="216"/>
        <v>115.0504003784808</v>
      </c>
      <c r="J499" s="306">
        <f t="shared" ca="1" si="217"/>
        <v>729.0835638779015</v>
      </c>
      <c r="K499" s="307">
        <f t="shared" ca="1" si="218"/>
        <v>244.22780330802038</v>
      </c>
      <c r="L499" s="304">
        <f t="shared" ca="1" si="203"/>
        <v>768.90185526214145</v>
      </c>
      <c r="M499" s="306">
        <f t="shared" ca="1" si="219"/>
        <v>-1.4534353930072084</v>
      </c>
      <c r="N499" s="304">
        <f t="shared" ca="1" si="220"/>
        <v>-83.275713814251162</v>
      </c>
      <c r="P499" s="310">
        <f t="shared" ca="1" si="221"/>
        <v>23</v>
      </c>
      <c r="Q499" s="304">
        <f t="shared" ca="1" si="222"/>
        <v>0</v>
      </c>
      <c r="R499" s="306">
        <f t="shared" ca="1" si="223"/>
        <v>0</v>
      </c>
      <c r="S499" s="307">
        <f t="shared" ca="1" si="224"/>
        <v>7.9769999999999968</v>
      </c>
      <c r="T499" s="304">
        <f t="shared" ca="1" si="204"/>
        <v>78.254369999999966</v>
      </c>
      <c r="U499" s="311">
        <f t="shared" ca="1" si="205"/>
        <v>0</v>
      </c>
      <c r="V499" s="306">
        <f t="shared" ca="1" si="206"/>
        <v>1.1954430258383637</v>
      </c>
      <c r="W499" s="304">
        <f t="shared" ca="1" si="207"/>
        <v>52.268349218999965</v>
      </c>
      <c r="Y499" s="314" t="str">
        <f t="shared" ca="1" si="225"/>
        <v/>
      </c>
      <c r="Z499" s="315" t="str">
        <f t="shared" ca="1" si="226"/>
        <v/>
      </c>
      <c r="AA499" s="316" t="str">
        <f t="shared" ca="1" si="227"/>
        <v/>
      </c>
      <c r="AC499" s="310" t="e">
        <f t="shared" ca="1" si="228"/>
        <v>#N/A</v>
      </c>
      <c r="AD499" s="323" t="e">
        <f t="shared" ca="1" si="229"/>
        <v>#N/A</v>
      </c>
      <c r="AE499" s="324" t="e">
        <f t="shared" ca="1" si="208"/>
        <v>#N/A</v>
      </c>
      <c r="AG499" s="306">
        <f t="shared" ca="1" si="230"/>
        <v>3.2331877645138132</v>
      </c>
      <c r="AH499" s="304">
        <f t="shared" ca="1" si="231"/>
        <v>-6.5081687205620025</v>
      </c>
    </row>
    <row r="500" spans="1:34" x14ac:dyDescent="0.2">
      <c r="A500" s="347">
        <f t="shared" ca="1" si="209"/>
        <v>0.1</v>
      </c>
      <c r="B500" s="304">
        <f t="shared" ca="1" si="210"/>
        <v>31.600000000000183</v>
      </c>
      <c r="D500" s="306">
        <f t="shared" ca="1" si="211"/>
        <v>-0.76722955566630768</v>
      </c>
      <c r="E500" s="307">
        <f t="shared" ca="1" si="212"/>
        <v>-3.302691385418008</v>
      </c>
      <c r="F500" s="304">
        <f t="shared" ca="1" si="213"/>
        <v>3.3906358663829179</v>
      </c>
      <c r="G500" s="306">
        <f t="shared" ca="1" si="214"/>
        <v>13.394724669242345</v>
      </c>
      <c r="H500" s="307">
        <f t="shared" ca="1" si="215"/>
        <v>-114.58925008157648</v>
      </c>
      <c r="I500" s="304">
        <f t="shared" ca="1" si="216"/>
        <v>115.36947119243845</v>
      </c>
      <c r="J500" s="306">
        <f t="shared" ca="1" si="217"/>
        <v>730.42687249260405</v>
      </c>
      <c r="K500" s="307">
        <f t="shared" ca="1" si="218"/>
        <v>232.78539175678983</v>
      </c>
      <c r="L500" s="304">
        <f t="shared" ca="1" si="203"/>
        <v>766.62406345919578</v>
      </c>
      <c r="M500" s="306">
        <f t="shared" ca="1" si="219"/>
        <v>-1.454431037531781</v>
      </c>
      <c r="N500" s="304">
        <f t="shared" ca="1" si="220"/>
        <v>-83.332760043404491</v>
      </c>
      <c r="P500" s="310">
        <f t="shared" ca="1" si="221"/>
        <v>23</v>
      </c>
      <c r="Q500" s="304">
        <f t="shared" ca="1" si="222"/>
        <v>0</v>
      </c>
      <c r="R500" s="306">
        <f t="shared" ca="1" si="223"/>
        <v>0</v>
      </c>
      <c r="S500" s="307">
        <f t="shared" ca="1" si="224"/>
        <v>7.9769999999999968</v>
      </c>
      <c r="T500" s="304">
        <f t="shared" ca="1" si="204"/>
        <v>78.254369999999966</v>
      </c>
      <c r="U500" s="311">
        <f t="shared" ca="1" si="205"/>
        <v>0</v>
      </c>
      <c r="V500" s="306">
        <f t="shared" ca="1" si="206"/>
        <v>1.1968118786533222</v>
      </c>
      <c r="W500" s="304">
        <f t="shared" ca="1" si="207"/>
        <v>52.61884702497364</v>
      </c>
      <c r="Y500" s="314" t="str">
        <f t="shared" ca="1" si="225"/>
        <v/>
      </c>
      <c r="Z500" s="315" t="str">
        <f t="shared" ca="1" si="226"/>
        <v/>
      </c>
      <c r="AA500" s="316" t="str">
        <f t="shared" ca="1" si="227"/>
        <v/>
      </c>
      <c r="AC500" s="310" t="e">
        <f t="shared" ca="1" si="228"/>
        <v>#N/A</v>
      </c>
      <c r="AD500" s="323" t="e">
        <f t="shared" ca="1" si="229"/>
        <v>#N/A</v>
      </c>
      <c r="AE500" s="324" t="e">
        <f t="shared" ca="1" si="208"/>
        <v>#N/A</v>
      </c>
      <c r="AG500" s="306">
        <f t="shared" ca="1" si="230"/>
        <v>3.1901363062138994</v>
      </c>
      <c r="AH500" s="304">
        <f t="shared" ca="1" si="231"/>
        <v>-6.5523817499059778</v>
      </c>
    </row>
    <row r="501" spans="1:34" x14ac:dyDescent="0.2">
      <c r="A501" s="347">
        <f t="shared" ca="1" si="209"/>
        <v>0.1</v>
      </c>
      <c r="B501" s="304">
        <f t="shared" ca="1" si="210"/>
        <v>31.700000000000184</v>
      </c>
      <c r="D501" s="306">
        <f t="shared" ca="1" si="211"/>
        <v>-0.76585160113639816</v>
      </c>
      <c r="E501" s="307">
        <f t="shared" ca="1" si="212"/>
        <v>-3.2582893217275473</v>
      </c>
      <c r="F501" s="304">
        <f t="shared" ca="1" si="213"/>
        <v>3.3470849972844947</v>
      </c>
      <c r="G501" s="306">
        <f t="shared" ca="1" si="214"/>
        <v>13.318139509128706</v>
      </c>
      <c r="H501" s="307">
        <f t="shared" ca="1" si="215"/>
        <v>-114.91507901374924</v>
      </c>
      <c r="I501" s="304">
        <f t="shared" ca="1" si="216"/>
        <v>115.68426092049361</v>
      </c>
      <c r="J501" s="306">
        <f t="shared" ca="1" si="217"/>
        <v>731.7625157015226</v>
      </c>
      <c r="K501" s="307">
        <f t="shared" ca="1" si="218"/>
        <v>221.31017530202354</v>
      </c>
      <c r="L501" s="304">
        <f t="shared" ca="1" si="203"/>
        <v>764.49628715778169</v>
      </c>
      <c r="M501" s="306">
        <f t="shared" ca="1" si="219"/>
        <v>-1.4554155873362418</v>
      </c>
      <c r="N501" s="304">
        <f t="shared" ca="1" si="220"/>
        <v>-83.389170591920518</v>
      </c>
      <c r="P501" s="310">
        <f t="shared" ca="1" si="221"/>
        <v>23</v>
      </c>
      <c r="Q501" s="304">
        <f t="shared" ca="1" si="222"/>
        <v>0</v>
      </c>
      <c r="R501" s="306">
        <f t="shared" ca="1" si="223"/>
        <v>0</v>
      </c>
      <c r="S501" s="307">
        <f t="shared" ca="1" si="224"/>
        <v>7.9769999999999968</v>
      </c>
      <c r="T501" s="304">
        <f t="shared" ca="1" si="204"/>
        <v>78.254369999999966</v>
      </c>
      <c r="U501" s="311">
        <f t="shared" ca="1" si="205"/>
        <v>0</v>
      </c>
      <c r="V501" s="306">
        <f t="shared" ca="1" si="206"/>
        <v>1.1981862117345787</v>
      </c>
      <c r="W501" s="304">
        <f t="shared" ca="1" si="207"/>
        <v>52.967137482516804</v>
      </c>
      <c r="Y501" s="314" t="str">
        <f t="shared" ca="1" si="225"/>
        <v/>
      </c>
      <c r="Z501" s="315" t="str">
        <f t="shared" ca="1" si="226"/>
        <v/>
      </c>
      <c r="AA501" s="316" t="str">
        <f t="shared" ca="1" si="227"/>
        <v/>
      </c>
      <c r="AC501" s="310" t="e">
        <f t="shared" ca="1" si="228"/>
        <v>#N/A</v>
      </c>
      <c r="AD501" s="323" t="e">
        <f t="shared" ca="1" si="229"/>
        <v>#N/A</v>
      </c>
      <c r="AE501" s="324" t="e">
        <f t="shared" ca="1" si="208"/>
        <v>#N/A</v>
      </c>
      <c r="AG501" s="306">
        <f t="shared" ca="1" si="230"/>
        <v>3.1473365946627165</v>
      </c>
      <c r="AH501" s="304">
        <f t="shared" ca="1" si="231"/>
        <v>-6.5963202989812793</v>
      </c>
    </row>
    <row r="502" spans="1:34" x14ac:dyDescent="0.2">
      <c r="A502" s="347">
        <f t="shared" ca="1" si="209"/>
        <v>0.1</v>
      </c>
      <c r="B502" s="304">
        <f t="shared" ca="1" si="210"/>
        <v>31.800000000000185</v>
      </c>
      <c r="D502" s="306">
        <f t="shared" ca="1" si="211"/>
        <v>-0.76442731011473664</v>
      </c>
      <c r="E502" s="307">
        <f t="shared" ca="1" si="212"/>
        <v>-3.2141669497536496</v>
      </c>
      <c r="F502" s="304">
        <f t="shared" ca="1" si="213"/>
        <v>3.3038187440200062</v>
      </c>
      <c r="G502" s="306">
        <f t="shared" ca="1" si="214"/>
        <v>13.241696778117232</v>
      </c>
      <c r="H502" s="307">
        <f t="shared" ca="1" si="215"/>
        <v>-115.2364957087246</v>
      </c>
      <c r="I502" s="304">
        <f t="shared" ca="1" si="216"/>
        <v>115.99479504180566</v>
      </c>
      <c r="J502" s="306">
        <f t="shared" ca="1" si="217"/>
        <v>733.09050751588495</v>
      </c>
      <c r="K502" s="307">
        <f t="shared" ca="1" si="218"/>
        <v>209.80259656589985</v>
      </c>
      <c r="L502" s="304">
        <f t="shared" ca="1" si="203"/>
        <v>762.52135821607749</v>
      </c>
      <c r="M502" s="306">
        <f t="shared" ca="1" si="219"/>
        <v>-1.456389230586997</v>
      </c>
      <c r="N502" s="304">
        <f t="shared" ca="1" si="220"/>
        <v>-83.444956240940186</v>
      </c>
      <c r="P502" s="310">
        <f t="shared" ca="1" si="221"/>
        <v>23</v>
      </c>
      <c r="Q502" s="304">
        <f t="shared" ca="1" si="222"/>
        <v>0</v>
      </c>
      <c r="R502" s="306">
        <f t="shared" ca="1" si="223"/>
        <v>0</v>
      </c>
      <c r="S502" s="307">
        <f t="shared" ca="1" si="224"/>
        <v>7.9769999999999968</v>
      </c>
      <c r="T502" s="304">
        <f t="shared" ca="1" si="204"/>
        <v>78.254369999999966</v>
      </c>
      <c r="U502" s="311">
        <f t="shared" ca="1" si="205"/>
        <v>0</v>
      </c>
      <c r="V502" s="306">
        <f t="shared" ca="1" si="206"/>
        <v>1.1995659880085223</v>
      </c>
      <c r="W502" s="304">
        <f t="shared" ca="1" si="207"/>
        <v>53.31320355882643</v>
      </c>
      <c r="Y502" s="314" t="str">
        <f t="shared" ca="1" si="225"/>
        <v/>
      </c>
      <c r="Z502" s="315" t="str">
        <f t="shared" ca="1" si="226"/>
        <v/>
      </c>
      <c r="AA502" s="316" t="str">
        <f t="shared" ca="1" si="227"/>
        <v/>
      </c>
      <c r="AC502" s="310" t="e">
        <f t="shared" ca="1" si="228"/>
        <v>#N/A</v>
      </c>
      <c r="AD502" s="323" t="e">
        <f t="shared" ca="1" si="229"/>
        <v>#N/A</v>
      </c>
      <c r="AE502" s="324" t="e">
        <f t="shared" ca="1" si="208"/>
        <v>#N/A</v>
      </c>
      <c r="AG502" s="306">
        <f t="shared" ca="1" si="230"/>
        <v>3.1047914087507271</v>
      </c>
      <c r="AH502" s="304">
        <f t="shared" ca="1" si="231"/>
        <v>-6.6399821339497089</v>
      </c>
    </row>
    <row r="503" spans="1:34" x14ac:dyDescent="0.2">
      <c r="A503" s="347">
        <f t="shared" ca="1" si="209"/>
        <v>0.1</v>
      </c>
      <c r="B503" s="304">
        <f t="shared" ca="1" si="210"/>
        <v>31.900000000000187</v>
      </c>
      <c r="D503" s="306">
        <f t="shared" ca="1" si="211"/>
        <v>-0.76295746148715227</v>
      </c>
      <c r="E503" s="307">
        <f t="shared" ca="1" si="212"/>
        <v>-3.1703264211654387</v>
      </c>
      <c r="F503" s="304">
        <f t="shared" ca="1" si="213"/>
        <v>3.2608394172020461</v>
      </c>
      <c r="G503" s="306">
        <f t="shared" ca="1" si="214"/>
        <v>13.165401031968518</v>
      </c>
      <c r="H503" s="307">
        <f t="shared" ca="1" si="215"/>
        <v>-115.55352835084115</v>
      </c>
      <c r="I503" s="304">
        <f t="shared" ca="1" si="216"/>
        <v>116.30109930117258</v>
      </c>
      <c r="J503" s="306">
        <f t="shared" ca="1" si="217"/>
        <v>734.41086240638924</v>
      </c>
      <c r="K503" s="307">
        <f t="shared" ca="1" si="218"/>
        <v>198.26309536292155</v>
      </c>
      <c r="L503" s="304">
        <f t="shared" ca="1" si="203"/>
        <v>760.70202431923587</v>
      </c>
      <c r="M503" s="306">
        <f t="shared" ca="1" si="219"/>
        <v>-1.4573521509959197</v>
      </c>
      <c r="N503" s="304">
        <f t="shared" ca="1" si="220"/>
        <v>-83.50012751637847</v>
      </c>
      <c r="P503" s="310">
        <f t="shared" ca="1" si="221"/>
        <v>23</v>
      </c>
      <c r="Q503" s="304">
        <f t="shared" ca="1" si="222"/>
        <v>0</v>
      </c>
      <c r="R503" s="306">
        <f t="shared" ca="1" si="223"/>
        <v>0</v>
      </c>
      <c r="S503" s="307">
        <f t="shared" ca="1" si="224"/>
        <v>7.9769999999999968</v>
      </c>
      <c r="T503" s="304">
        <f t="shared" ca="1" si="204"/>
        <v>78.254369999999966</v>
      </c>
      <c r="U503" s="311">
        <f t="shared" ca="1" si="205"/>
        <v>0</v>
      </c>
      <c r="V503" s="306">
        <f t="shared" ca="1" si="206"/>
        <v>1.2009511705860156</v>
      </c>
      <c r="W503" s="304">
        <f t="shared" ca="1" si="207"/>
        <v>53.657028998199216</v>
      </c>
      <c r="Y503" s="314" t="str">
        <f t="shared" ca="1" si="225"/>
        <v/>
      </c>
      <c r="Z503" s="315" t="str">
        <f t="shared" ca="1" si="226"/>
        <v/>
      </c>
      <c r="AA503" s="316" t="str">
        <f t="shared" ca="1" si="227"/>
        <v/>
      </c>
      <c r="AC503" s="310" t="e">
        <f t="shared" ca="1" si="228"/>
        <v>#N/A</v>
      </c>
      <c r="AD503" s="323" t="e">
        <f t="shared" ca="1" si="229"/>
        <v>#N/A</v>
      </c>
      <c r="AE503" s="324" t="e">
        <f t="shared" ca="1" si="208"/>
        <v>#N/A</v>
      </c>
      <c r="AG503" s="306">
        <f t="shared" ca="1" si="230"/>
        <v>3.0625034126767696</v>
      </c>
      <c r="AH503" s="304">
        <f t="shared" ca="1" si="231"/>
        <v>-6.683365119572076</v>
      </c>
    </row>
    <row r="504" spans="1:34" x14ac:dyDescent="0.2">
      <c r="A504" s="347">
        <f t="shared" ca="1" si="209"/>
        <v>0.1</v>
      </c>
      <c r="B504" s="304">
        <f t="shared" ca="1" si="210"/>
        <v>32.000000000000185</v>
      </c>
      <c r="D504" s="306">
        <f t="shared" ca="1" si="211"/>
        <v>-0.76144283231911603</v>
      </c>
      <c r="E504" s="307">
        <f t="shared" ca="1" si="212"/>
        <v>-3.126769789368459</v>
      </c>
      <c r="F504" s="304">
        <f t="shared" ca="1" si="213"/>
        <v>3.21814923560071</v>
      </c>
      <c r="G504" s="306">
        <f t="shared" ca="1" si="214"/>
        <v>13.089256748736606</v>
      </c>
      <c r="H504" s="307">
        <f t="shared" ca="1" si="215"/>
        <v>-115.866205329778</v>
      </c>
      <c r="I504" s="304">
        <f t="shared" ca="1" si="216"/>
        <v>116.60319969776397</v>
      </c>
      <c r="J504" s="306">
        <f t="shared" ca="1" si="217"/>
        <v>735.7235952954245</v>
      </c>
      <c r="K504" s="307">
        <f t="shared" ca="1" si="218"/>
        <v>186.69210867889058</v>
      </c>
      <c r="L504" s="304">
        <f t="shared" ca="1" si="203"/>
        <v>759.04094231958015</v>
      </c>
      <c r="M504" s="306">
        <f t="shared" ca="1" si="219"/>
        <v>-1.4583045279505942</v>
      </c>
      <c r="N504" s="304">
        <f t="shared" ca="1" si="220"/>
        <v>-83.554694696386846</v>
      </c>
      <c r="P504" s="310">
        <f t="shared" ca="1" si="221"/>
        <v>23</v>
      </c>
      <c r="Q504" s="304">
        <f t="shared" ca="1" si="222"/>
        <v>0</v>
      </c>
      <c r="R504" s="306">
        <f t="shared" ca="1" si="223"/>
        <v>0</v>
      </c>
      <c r="S504" s="307">
        <f t="shared" ca="1" si="224"/>
        <v>7.9769999999999968</v>
      </c>
      <c r="T504" s="304">
        <f t="shared" ca="1" si="204"/>
        <v>78.254369999999966</v>
      </c>
      <c r="U504" s="311">
        <f t="shared" ca="1" si="205"/>
        <v>0</v>
      </c>
      <c r="V504" s="306">
        <f t="shared" ca="1" si="206"/>
        <v>1.2023417227646411</v>
      </c>
      <c r="W504" s="304">
        <f t="shared" ca="1" si="207"/>
        <v>53.99859831246772</v>
      </c>
      <c r="Y504" s="314" t="str">
        <f t="shared" ca="1" si="225"/>
        <v/>
      </c>
      <c r="Z504" s="315" t="str">
        <f t="shared" ca="1" si="226"/>
        <v/>
      </c>
      <c r="AA504" s="316" t="str">
        <f t="shared" ca="1" si="227"/>
        <v/>
      </c>
      <c r="AC504" s="310">
        <f t="shared" ca="1" si="228"/>
        <v>32.000000000000185</v>
      </c>
      <c r="AD504" s="323">
        <f t="shared" ca="1" si="229"/>
        <v>735.7235952954245</v>
      </c>
      <c r="AE504" s="324" t="e">
        <f t="shared" ca="1" si="208"/>
        <v>#N/A</v>
      </c>
      <c r="AG504" s="306">
        <f t="shared" ca="1" si="230"/>
        <v>3.020475157696132</v>
      </c>
      <c r="AH504" s="304">
        <f t="shared" ca="1" si="231"/>
        <v>-6.7264672180267313</v>
      </c>
    </row>
    <row r="505" spans="1:34" x14ac:dyDescent="0.2">
      <c r="A505" s="347">
        <f t="shared" ca="1" si="209"/>
        <v>0.1</v>
      </c>
      <c r="B505" s="304">
        <f t="shared" ca="1" si="210"/>
        <v>32.100000000000186</v>
      </c>
      <c r="D505" s="306">
        <f t="shared" ca="1" si="211"/>
        <v>-0.75988419762975967</v>
      </c>
      <c r="E505" s="307">
        <f t="shared" ca="1" si="212"/>
        <v>-3.0834990107118578</v>
      </c>
      <c r="F505" s="304">
        <f t="shared" ca="1" si="213"/>
        <v>3.1757503275396872</v>
      </c>
      <c r="G505" s="306">
        <f t="shared" ca="1" si="214"/>
        <v>13.013268328973631</v>
      </c>
      <c r="H505" s="307">
        <f t="shared" ca="1" si="215"/>
        <v>-116.17455523084918</v>
      </c>
      <c r="I505" s="304">
        <f t="shared" ca="1" si="216"/>
        <v>116.90112247402715</v>
      </c>
      <c r="J505" s="306">
        <f t="shared" ca="1" si="217"/>
        <v>737.02872154931003</v>
      </c>
      <c r="K505" s="307">
        <f t="shared" ca="1" si="218"/>
        <v>175.09007065085922</v>
      </c>
      <c r="L505" s="304">
        <f t="shared" ca="1" si="203"/>
        <v>757.54067166663287</v>
      </c>
      <c r="M505" s="306">
        <f t="shared" ca="1" si="219"/>
        <v>-1.4592465366400764</v>
      </c>
      <c r="N505" s="304">
        <f t="shared" ca="1" si="220"/>
        <v>-83.608667818558828</v>
      </c>
      <c r="P505" s="310">
        <f t="shared" ca="1" si="221"/>
        <v>23</v>
      </c>
      <c r="Q505" s="304">
        <f t="shared" ca="1" si="222"/>
        <v>0</v>
      </c>
      <c r="R505" s="306">
        <f t="shared" ca="1" si="223"/>
        <v>0</v>
      </c>
      <c r="S505" s="307">
        <f t="shared" ca="1" si="224"/>
        <v>7.9769999999999968</v>
      </c>
      <c r="T505" s="304">
        <f t="shared" ca="1" si="204"/>
        <v>78.254369999999966</v>
      </c>
      <c r="U505" s="311">
        <f t="shared" ca="1" si="205"/>
        <v>0</v>
      </c>
      <c r="V505" s="306">
        <f t="shared" ca="1" si="206"/>
        <v>1.2037376080308739</v>
      </c>
      <c r="W505" s="304">
        <f t="shared" ca="1" si="207"/>
        <v>54.337896771306269</v>
      </c>
      <c r="Y505" s="314" t="str">
        <f t="shared" ca="1" si="225"/>
        <v/>
      </c>
      <c r="Z505" s="315" t="str">
        <f t="shared" ca="1" si="226"/>
        <v/>
      </c>
      <c r="AA505" s="316" t="str">
        <f t="shared" ca="1" si="227"/>
        <v/>
      </c>
      <c r="AC505" s="310" t="e">
        <f t="shared" ca="1" si="228"/>
        <v>#N/A</v>
      </c>
      <c r="AD505" s="323" t="e">
        <f t="shared" ca="1" si="229"/>
        <v>#N/A</v>
      </c>
      <c r="AE505" s="324" t="e">
        <f t="shared" ca="1" si="208"/>
        <v>#N/A</v>
      </c>
      <c r="AG505" s="306">
        <f t="shared" ca="1" si="230"/>
        <v>2.9787090838630235</v>
      </c>
      <c r="AH505" s="304">
        <f t="shared" ca="1" si="231"/>
        <v>-6.7692864877106356</v>
      </c>
    </row>
    <row r="506" spans="1:34" x14ac:dyDescent="0.2">
      <c r="A506" s="347">
        <f t="shared" ca="1" si="209"/>
        <v>0.1</v>
      </c>
      <c r="B506" s="304">
        <f t="shared" ca="1" si="210"/>
        <v>32.200000000000188</v>
      </c>
      <c r="D506" s="306">
        <f t="shared" ca="1" si="211"/>
        <v>-0.75828233017209867</v>
      </c>
      <c r="E506" s="307">
        <f t="shared" ca="1" si="212"/>
        <v>-3.0405159457121975</v>
      </c>
      <c r="F506" s="304">
        <f t="shared" ca="1" si="213"/>
        <v>3.1336447323175238</v>
      </c>
      <c r="G506" s="306">
        <f t="shared" ca="1" si="214"/>
        <v>12.93744009595642</v>
      </c>
      <c r="H506" s="307">
        <f t="shared" ca="1" si="215"/>
        <v>-116.4786068254204</v>
      </c>
      <c r="I506" s="304">
        <f t="shared" ca="1" si="216"/>
        <v>117.19489410476606</v>
      </c>
      <c r="J506" s="306">
        <f t="shared" ca="1" si="217"/>
        <v>738.32625697055653</v>
      </c>
      <c r="K506" s="307">
        <f t="shared" ca="1" si="218"/>
        <v>163.45741254804574</v>
      </c>
      <c r="L506" s="304">
        <f t="shared" ca="1" si="203"/>
        <v>756.20366796852704</v>
      </c>
      <c r="M506" s="306">
        <f t="shared" ca="1" si="219"/>
        <v>-1.4601783481763539</v>
      </c>
      <c r="N506" s="304">
        <f t="shared" ca="1" si="220"/>
        <v>-83.66205668688913</v>
      </c>
      <c r="P506" s="310">
        <f t="shared" ca="1" si="221"/>
        <v>23</v>
      </c>
      <c r="Q506" s="304">
        <f t="shared" ca="1" si="222"/>
        <v>0</v>
      </c>
      <c r="R506" s="306">
        <f t="shared" ca="1" si="223"/>
        <v>0</v>
      </c>
      <c r="S506" s="307">
        <f t="shared" ca="1" si="224"/>
        <v>7.9769999999999968</v>
      </c>
      <c r="T506" s="304">
        <f t="shared" ca="1" si="204"/>
        <v>78.254369999999966</v>
      </c>
      <c r="U506" s="311">
        <f t="shared" ca="1" si="205"/>
        <v>0</v>
      </c>
      <c r="V506" s="306">
        <f t="shared" ca="1" si="206"/>
        <v>1.2051387900621897</v>
      </c>
      <c r="W506" s="304">
        <f t="shared" ca="1" si="207"/>
        <v>54.674910392415242</v>
      </c>
      <c r="Y506" s="314" t="str">
        <f t="shared" ca="1" si="225"/>
        <v/>
      </c>
      <c r="Z506" s="315" t="str">
        <f t="shared" ca="1" si="226"/>
        <v/>
      </c>
      <c r="AA506" s="316" t="str">
        <f t="shared" ca="1" si="227"/>
        <v/>
      </c>
      <c r="AC506" s="310" t="e">
        <f t="shared" ca="1" si="228"/>
        <v>#N/A</v>
      </c>
      <c r="AD506" s="323" t="e">
        <f t="shared" ca="1" si="229"/>
        <v>#N/A</v>
      </c>
      <c r="AE506" s="324" t="e">
        <f t="shared" ca="1" si="208"/>
        <v>#N/A</v>
      </c>
      <c r="AG506" s="306">
        <f t="shared" ca="1" si="230"/>
        <v>2.9372075217674487</v>
      </c>
      <c r="AH506" s="304">
        <f t="shared" ca="1" si="231"/>
        <v>-6.8118210820241059</v>
      </c>
    </row>
    <row r="507" spans="1:34" x14ac:dyDescent="0.2">
      <c r="A507" s="347">
        <f t="shared" ca="1" si="209"/>
        <v>0.1</v>
      </c>
      <c r="B507" s="304">
        <f t="shared" ca="1" si="210"/>
        <v>32.300000000000189</v>
      </c>
      <c r="D507" s="306">
        <f t="shared" ca="1" si="211"/>
        <v>-0.75663800021938177</v>
      </c>
      <c r="E507" s="307">
        <f t="shared" ca="1" si="212"/>
        <v>-2.9978223602928038</v>
      </c>
      <c r="F507" s="304">
        <f t="shared" ca="1" si="213"/>
        <v>3.0918344016534101</v>
      </c>
      <c r="G507" s="306">
        <f t="shared" ca="1" si="214"/>
        <v>12.861776295934481</v>
      </c>
      <c r="H507" s="307">
        <f t="shared" ca="1" si="215"/>
        <v>-116.77838906144969</v>
      </c>
      <c r="I507" s="304">
        <f t="shared" ca="1" si="216"/>
        <v>117.48454128639212</v>
      </c>
      <c r="J507" s="306">
        <f t="shared" ca="1" si="217"/>
        <v>739.61621779015104</v>
      </c>
      <c r="K507" s="307">
        <f t="shared" ca="1" si="218"/>
        <v>151.79456275370222</v>
      </c>
      <c r="L507" s="304">
        <f t="shared" ca="1" si="203"/>
        <v>755.03227672715809</v>
      </c>
      <c r="M507" s="306">
        <f t="shared" ca="1" si="219"/>
        <v>-1.4611001297116695</v>
      </c>
      <c r="N507" s="304">
        <f t="shared" ca="1" si="220"/>
        <v>-83.714870878495802</v>
      </c>
      <c r="P507" s="310">
        <f t="shared" ca="1" si="221"/>
        <v>23</v>
      </c>
      <c r="Q507" s="304">
        <f t="shared" ca="1" si="222"/>
        <v>0</v>
      </c>
      <c r="R507" s="306">
        <f t="shared" ca="1" si="223"/>
        <v>0</v>
      </c>
      <c r="S507" s="307">
        <f t="shared" ca="1" si="224"/>
        <v>7.9769999999999968</v>
      </c>
      <c r="T507" s="304">
        <f t="shared" ca="1" si="204"/>
        <v>78.254369999999966</v>
      </c>
      <c r="U507" s="311">
        <f t="shared" ca="1" si="205"/>
        <v>0</v>
      </c>
      <c r="V507" s="306">
        <f t="shared" ca="1" si="206"/>
        <v>1.2065452327291022</v>
      </c>
      <c r="W507" s="304">
        <f t="shared" ca="1" si="207"/>
        <v>55.009625931592183</v>
      </c>
      <c r="Y507" s="314" t="str">
        <f t="shared" ca="1" si="225"/>
        <v/>
      </c>
      <c r="Z507" s="315" t="str">
        <f t="shared" ca="1" si="226"/>
        <v/>
      </c>
      <c r="AA507" s="316" t="str">
        <f t="shared" ca="1" si="227"/>
        <v/>
      </c>
      <c r="AC507" s="310" t="e">
        <f t="shared" ca="1" si="228"/>
        <v>#N/A</v>
      </c>
      <c r="AD507" s="323" t="e">
        <f t="shared" ca="1" si="229"/>
        <v>#N/A</v>
      </c>
      <c r="AE507" s="324" t="e">
        <f t="shared" ca="1" si="208"/>
        <v>#N/A</v>
      </c>
      <c r="AG507" s="306">
        <f t="shared" ca="1" si="230"/>
        <v>2.8959726942663293</v>
      </c>
      <c r="AH507" s="304">
        <f t="shared" ca="1" si="231"/>
        <v>-6.8540692481403118</v>
      </c>
    </row>
    <row r="508" spans="1:34" x14ac:dyDescent="0.2">
      <c r="A508" s="347">
        <f t="shared" ca="1" si="209"/>
        <v>0.1</v>
      </c>
      <c r="B508" s="304">
        <f t="shared" ca="1" si="210"/>
        <v>32.40000000000019</v>
      </c>
      <c r="D508" s="306">
        <f t="shared" ca="1" si="211"/>
        <v>-0.75495197535754355</v>
      </c>
      <c r="E508" s="307">
        <f t="shared" ca="1" si="212"/>
        <v>-2.9554199270375614</v>
      </c>
      <c r="F508" s="304">
        <f t="shared" ca="1" si="213"/>
        <v>3.0503212011568488</v>
      </c>
      <c r="G508" s="306">
        <f t="shared" ca="1" si="214"/>
        <v>12.786281098398726</v>
      </c>
      <c r="H508" s="307">
        <f t="shared" ca="1" si="215"/>
        <v>-117.07393105415345</v>
      </c>
      <c r="I508" s="304">
        <f t="shared" ca="1" si="216"/>
        <v>117.7700909263466</v>
      </c>
      <c r="J508" s="306">
        <f t="shared" ca="1" si="217"/>
        <v>740.89862065986767</v>
      </c>
      <c r="K508" s="307">
        <f t="shared" ca="1" si="218"/>
        <v>140.10194674792206</v>
      </c>
      <c r="L508" s="304">
        <f t="shared" ca="1" si="203"/>
        <v>754.02872728978446</v>
      </c>
      <c r="M508" s="306">
        <f t="shared" ca="1" si="219"/>
        <v>-1.4620120445518718</v>
      </c>
      <c r="N508" s="304">
        <f t="shared" ca="1" si="220"/>
        <v>-83.767119750114745</v>
      </c>
      <c r="P508" s="310">
        <f t="shared" ca="1" si="221"/>
        <v>23</v>
      </c>
      <c r="Q508" s="304">
        <f t="shared" ca="1" si="222"/>
        <v>0</v>
      </c>
      <c r="R508" s="306">
        <f t="shared" ca="1" si="223"/>
        <v>0</v>
      </c>
      <c r="S508" s="307">
        <f t="shared" ca="1" si="224"/>
        <v>7.9769999999999968</v>
      </c>
      <c r="T508" s="304">
        <f t="shared" ca="1" si="204"/>
        <v>78.254369999999966</v>
      </c>
      <c r="U508" s="311">
        <f t="shared" ca="1" si="205"/>
        <v>0</v>
      </c>
      <c r="V508" s="306">
        <f t="shared" ca="1" si="206"/>
        <v>1.20795690009713</v>
      </c>
      <c r="W508" s="304">
        <f t="shared" ca="1" si="207"/>
        <v>55.342030872698267</v>
      </c>
      <c r="Y508" s="314" t="str">
        <f t="shared" ca="1" si="225"/>
        <v/>
      </c>
      <c r="Z508" s="315" t="str">
        <f t="shared" ca="1" si="226"/>
        <v/>
      </c>
      <c r="AA508" s="316" t="str">
        <f t="shared" ca="1" si="227"/>
        <v/>
      </c>
      <c r="AC508" s="310" t="e">
        <f t="shared" ca="1" si="228"/>
        <v>#N/A</v>
      </c>
      <c r="AD508" s="323" t="e">
        <f t="shared" ca="1" si="229"/>
        <v>#N/A</v>
      </c>
      <c r="AE508" s="324" t="e">
        <f t="shared" ca="1" si="208"/>
        <v>#N/A</v>
      </c>
      <c r="AG508" s="306">
        <f t="shared" ca="1" si="230"/>
        <v>2.8550067182088199</v>
      </c>
      <c r="AH508" s="304">
        <f t="shared" ca="1" si="231"/>
        <v>-6.8960293257605869</v>
      </c>
    </row>
    <row r="509" spans="1:34" x14ac:dyDescent="0.2">
      <c r="A509" s="347">
        <f t="shared" ca="1" si="209"/>
        <v>0.1</v>
      </c>
      <c r="B509" s="304">
        <f t="shared" ca="1" si="210"/>
        <v>32.500000000000192</v>
      </c>
      <c r="D509" s="306">
        <f t="shared" ca="1" si="211"/>
        <v>-0.75322502028371374</v>
      </c>
      <c r="E509" s="307">
        <f t="shared" ca="1" si="212"/>
        <v>-2.9133102264580826</v>
      </c>
      <c r="F509" s="304">
        <f t="shared" ca="1" si="213"/>
        <v>3.0091069118206226</v>
      </c>
      <c r="G509" s="306">
        <f t="shared" ca="1" si="214"/>
        <v>12.710958596370356</v>
      </c>
      <c r="H509" s="307">
        <f t="shared" ca="1" si="215"/>
        <v>-117.36526207679925</v>
      </c>
      <c r="I509" s="304">
        <f t="shared" ca="1" si="216"/>
        <v>118.0515701326942</v>
      </c>
      <c r="J509" s="306">
        <f t="shared" ca="1" si="217"/>
        <v>742.17348264460611</v>
      </c>
      <c r="K509" s="307">
        <f t="shared" ca="1" si="218"/>
        <v>128.37998709137443</v>
      </c>
      <c r="L509" s="304">
        <f t="shared" ca="1" si="203"/>
        <v>753.19512705965167</v>
      </c>
      <c r="M509" s="306">
        <f t="shared" ca="1" si="219"/>
        <v>-1.4629142522659502</v>
      </c>
      <c r="N509" s="304">
        <f t="shared" ca="1" si="220"/>
        <v>-83.818812444375567</v>
      </c>
      <c r="P509" s="310">
        <f t="shared" ca="1" si="221"/>
        <v>23</v>
      </c>
      <c r="Q509" s="304">
        <f t="shared" ca="1" si="222"/>
        <v>0</v>
      </c>
      <c r="R509" s="306">
        <f t="shared" ca="1" si="223"/>
        <v>0</v>
      </c>
      <c r="S509" s="307">
        <f t="shared" ca="1" si="224"/>
        <v>7.9769999999999968</v>
      </c>
      <c r="T509" s="304">
        <f t="shared" ca="1" si="204"/>
        <v>78.254369999999966</v>
      </c>
      <c r="U509" s="311">
        <f t="shared" ca="1" si="205"/>
        <v>0</v>
      </c>
      <c r="V509" s="306">
        <f t="shared" ca="1" si="206"/>
        <v>1.209373756428705</v>
      </c>
      <c r="W509" s="304">
        <f t="shared" ca="1" si="207"/>
        <v>55.672113417528728</v>
      </c>
      <c r="Y509" s="314" t="str">
        <f t="shared" ca="1" si="225"/>
        <v/>
      </c>
      <c r="Z509" s="315" t="str">
        <f t="shared" ca="1" si="226"/>
        <v/>
      </c>
      <c r="AA509" s="316" t="str">
        <f t="shared" ca="1" si="227"/>
        <v/>
      </c>
      <c r="AC509" s="310" t="e">
        <f t="shared" ca="1" si="228"/>
        <v>#N/A</v>
      </c>
      <c r="AD509" s="323" t="e">
        <f t="shared" ca="1" si="229"/>
        <v>#N/A</v>
      </c>
      <c r="AE509" s="324" t="e">
        <f t="shared" ca="1" si="208"/>
        <v>#N/A</v>
      </c>
      <c r="AG509" s="306">
        <f t="shared" ca="1" si="230"/>
        <v>2.8143116061556137</v>
      </c>
      <c r="AH509" s="304">
        <f t="shared" ca="1" si="231"/>
        <v>-6.9376997458566239</v>
      </c>
    </row>
    <row r="510" spans="1:34" x14ac:dyDescent="0.2">
      <c r="A510" s="347">
        <f t="shared" ca="1" si="209"/>
        <v>0.1</v>
      </c>
      <c r="B510" s="304">
        <f t="shared" ca="1" si="210"/>
        <v>32.600000000000193</v>
      </c>
      <c r="D510" s="306">
        <f t="shared" ca="1" si="211"/>
        <v>-0.7514578966107246</v>
      </c>
      <c r="E510" s="307">
        <f t="shared" ca="1" si="212"/>
        <v>-2.8714947482731636</v>
      </c>
      <c r="F510" s="304">
        <f t="shared" ca="1" si="213"/>
        <v>2.9681932315364805</v>
      </c>
      <c r="G510" s="306">
        <f t="shared" ca="1" si="214"/>
        <v>12.635812806709284</v>
      </c>
      <c r="H510" s="307">
        <f t="shared" ca="1" si="215"/>
        <v>-117.65241155162657</v>
      </c>
      <c r="I510" s="304">
        <f t="shared" ca="1" si="216"/>
        <v>118.32900620388693</v>
      </c>
      <c r="J510" s="306">
        <f t="shared" ca="1" si="217"/>
        <v>743.44082121476015</v>
      </c>
      <c r="K510" s="307">
        <f t="shared" ca="1" si="218"/>
        <v>116.62910340995313</v>
      </c>
      <c r="L510" s="304">
        <f t="shared" ca="1" si="203"/>
        <v>752.5334560075629</v>
      </c>
      <c r="M510" s="306">
        <f t="shared" ca="1" si="219"/>
        <v>-1.4638069087918977</v>
      </c>
      <c r="N510" s="304">
        <f t="shared" ca="1" si="220"/>
        <v>-83.869957895867174</v>
      </c>
      <c r="P510" s="310">
        <f t="shared" ca="1" si="221"/>
        <v>23</v>
      </c>
      <c r="Q510" s="304">
        <f t="shared" ca="1" si="222"/>
        <v>0</v>
      </c>
      <c r="R510" s="306">
        <f t="shared" ca="1" si="223"/>
        <v>0</v>
      </c>
      <c r="S510" s="307">
        <f t="shared" ca="1" si="224"/>
        <v>7.9769999999999968</v>
      </c>
      <c r="T510" s="304">
        <f t="shared" ca="1" si="204"/>
        <v>78.254369999999966</v>
      </c>
      <c r="U510" s="311">
        <f t="shared" ca="1" si="205"/>
        <v>0</v>
      </c>
      <c r="V510" s="306">
        <f t="shared" ca="1" si="206"/>
        <v>1.2107957661850044</v>
      </c>
      <c r="W510" s="304">
        <f t="shared" ca="1" si="207"/>
        <v>55.999862475594895</v>
      </c>
      <c r="Y510" s="314" t="str">
        <f t="shared" ca="1" si="225"/>
        <v/>
      </c>
      <c r="Z510" s="315" t="str">
        <f t="shared" ca="1" si="226"/>
        <v/>
      </c>
      <c r="AA510" s="316" t="str">
        <f t="shared" ca="1" si="227"/>
        <v/>
      </c>
      <c r="AC510" s="310" t="e">
        <f t="shared" ca="1" si="228"/>
        <v>#N/A</v>
      </c>
      <c r="AD510" s="323" t="e">
        <f t="shared" ca="1" si="229"/>
        <v>#N/A</v>
      </c>
      <c r="AE510" s="324" t="e">
        <f t="shared" ca="1" si="208"/>
        <v>#N/A</v>
      </c>
      <c r="AG510" s="306">
        <f t="shared" ca="1" si="230"/>
        <v>2.7738892680920637</v>
      </c>
      <c r="AH510" s="304">
        <f t="shared" ca="1" si="231"/>
        <v>-6.9790790294006202</v>
      </c>
    </row>
    <row r="511" spans="1:34" x14ac:dyDescent="0.2">
      <c r="A511" s="347">
        <f t="shared" ca="1" si="209"/>
        <v>0.1</v>
      </c>
      <c r="B511" s="304">
        <f t="shared" ca="1" si="210"/>
        <v>32.700000000000195</v>
      </c>
      <c r="D511" s="306">
        <f t="shared" ca="1" si="211"/>
        <v>-0.74965136267757426</v>
      </c>
      <c r="E511" s="307">
        <f t="shared" ca="1" si="212"/>
        <v>-2.8299748926995223</v>
      </c>
      <c r="F511" s="304">
        <f t="shared" ca="1" si="213"/>
        <v>2.9275817766330654</v>
      </c>
      <c r="G511" s="306">
        <f t="shared" ca="1" si="214"/>
        <v>12.560847670441527</v>
      </c>
      <c r="H511" s="307">
        <f t="shared" ca="1" si="215"/>
        <v>-117.93540904089652</v>
      </c>
      <c r="I511" s="304">
        <f t="shared" ca="1" si="216"/>
        <v>118.60242661869786</v>
      </c>
      <c r="J511" s="306">
        <f t="shared" ca="1" si="217"/>
        <v>744.70065423861774</v>
      </c>
      <c r="K511" s="307">
        <f t="shared" ca="1" si="218"/>
        <v>104.84971238032698</v>
      </c>
      <c r="L511" s="304">
        <f t="shared" ca="1" si="203"/>
        <v>752.04556152513965</v>
      </c>
      <c r="M511" s="306">
        <f t="shared" ca="1" si="219"/>
        <v>-1.4646901665390479</v>
      </c>
      <c r="N511" s="304">
        <f t="shared" ca="1" si="220"/>
        <v>-83.920564837001123</v>
      </c>
      <c r="P511" s="310">
        <f t="shared" ca="1" si="221"/>
        <v>23</v>
      </c>
      <c r="Q511" s="304">
        <f t="shared" ca="1" si="222"/>
        <v>0</v>
      </c>
      <c r="R511" s="306">
        <f t="shared" ca="1" si="223"/>
        <v>0</v>
      </c>
      <c r="S511" s="307">
        <f t="shared" ca="1" si="224"/>
        <v>7.9769999999999968</v>
      </c>
      <c r="T511" s="304">
        <f t="shared" ca="1" si="204"/>
        <v>78.254369999999966</v>
      </c>
      <c r="U511" s="311">
        <f t="shared" ca="1" si="205"/>
        <v>0</v>
      </c>
      <c r="V511" s="306">
        <f t="shared" ca="1" si="206"/>
        <v>1.2122228940277222</v>
      </c>
      <c r="W511" s="304">
        <f t="shared" ca="1" si="207"/>
        <v>56.325267653826046</v>
      </c>
      <c r="Y511" s="314" t="str">
        <f t="shared" ca="1" si="225"/>
        <v/>
      </c>
      <c r="Z511" s="315" t="str">
        <f t="shared" ca="1" si="226"/>
        <v/>
      </c>
      <c r="AA511" s="316" t="str">
        <f t="shared" ca="1" si="227"/>
        <v/>
      </c>
      <c r="AC511" s="310" t="e">
        <f t="shared" ca="1" si="228"/>
        <v>#N/A</v>
      </c>
      <c r="AD511" s="323" t="e">
        <f t="shared" ca="1" si="229"/>
        <v>#N/A</v>
      </c>
      <c r="AE511" s="324" t="e">
        <f t="shared" ca="1" si="208"/>
        <v>#N/A</v>
      </c>
      <c r="AG511" s="306">
        <f t="shared" ca="1" si="230"/>
        <v>2.7337415131349267</v>
      </c>
      <c r="AH511" s="304">
        <f t="shared" ca="1" si="231"/>
        <v>-7.0201657860843572</v>
      </c>
    </row>
    <row r="512" spans="1:34" x14ac:dyDescent="0.2">
      <c r="A512" s="347">
        <f t="shared" ca="1" si="209"/>
        <v>0.1</v>
      </c>
      <c r="B512" s="304">
        <f t="shared" ca="1" si="210"/>
        <v>32.800000000000196</v>
      </c>
      <c r="D512" s="306">
        <f t="shared" ca="1" si="211"/>
        <v>-0.74780617336578092</v>
      </c>
      <c r="E512" s="307">
        <f t="shared" ca="1" si="212"/>
        <v>-2.7887519717528084</v>
      </c>
      <c r="F512" s="304">
        <f t="shared" ca="1" si="213"/>
        <v>2.8872740834356456</v>
      </c>
      <c r="G512" s="306">
        <f t="shared" ca="1" si="214"/>
        <v>12.486067053104948</v>
      </c>
      <c r="H512" s="307">
        <f t="shared" ca="1" si="215"/>
        <v>-118.2142842380718</v>
      </c>
      <c r="I512" s="304">
        <f t="shared" ca="1" si="216"/>
        <v>118.87185902632407</v>
      </c>
      <c r="J512" s="306">
        <f t="shared" ca="1" si="217"/>
        <v>745.95299997479503</v>
      </c>
      <c r="K512" s="307">
        <f t="shared" ca="1" si="218"/>
        <v>93.042227716378562</v>
      </c>
      <c r="L512" s="304">
        <f t="shared" ca="1" si="203"/>
        <v>751.73315365881194</v>
      </c>
      <c r="M512" s="306">
        <f t="shared" ca="1" si="219"/>
        <v>-1.4655641744870187</v>
      </c>
      <c r="N512" s="304">
        <f t="shared" ca="1" si="220"/>
        <v>-83.970641803680735</v>
      </c>
      <c r="P512" s="310">
        <f t="shared" ca="1" si="221"/>
        <v>23</v>
      </c>
      <c r="Q512" s="304">
        <f t="shared" ca="1" si="222"/>
        <v>0</v>
      </c>
      <c r="R512" s="306">
        <f t="shared" ca="1" si="223"/>
        <v>0</v>
      </c>
      <c r="S512" s="307">
        <f t="shared" ca="1" si="224"/>
        <v>7.9769999999999968</v>
      </c>
      <c r="T512" s="304">
        <f t="shared" ca="1" si="204"/>
        <v>78.254369999999966</v>
      </c>
      <c r="U512" s="311">
        <f t="shared" ca="1" si="205"/>
        <v>0</v>
      </c>
      <c r="V512" s="306">
        <f t="shared" ca="1" si="206"/>
        <v>1.213655104820778</v>
      </c>
      <c r="W512" s="304">
        <f t="shared" ca="1" si="207"/>
        <v>56.648319246199186</v>
      </c>
      <c r="Y512" s="314" t="str">
        <f t="shared" ca="1" si="225"/>
        <v/>
      </c>
      <c r="Z512" s="315" t="str">
        <f t="shared" ca="1" si="226"/>
        <v/>
      </c>
      <c r="AA512" s="316" t="str">
        <f t="shared" ca="1" si="227"/>
        <v/>
      </c>
      <c r="AC512" s="310" t="e">
        <f t="shared" ca="1" si="228"/>
        <v>#N/A</v>
      </c>
      <c r="AD512" s="323" t="e">
        <f t="shared" ca="1" si="229"/>
        <v>#N/A</v>
      </c>
      <c r="AE512" s="324" t="e">
        <f t="shared" ca="1" si="208"/>
        <v>#N/A</v>
      </c>
      <c r="AG512" s="306">
        <f t="shared" ca="1" si="230"/>
        <v>2.6938700512325005</v>
      </c>
      <c r="AH512" s="304">
        <f t="shared" ca="1" si="231"/>
        <v>-7.0609587130282145</v>
      </c>
    </row>
    <row r="513" spans="1:34" x14ac:dyDescent="0.2">
      <c r="A513" s="347">
        <f t="shared" ca="1" si="209"/>
        <v>0.1</v>
      </c>
      <c r="B513" s="304">
        <f t="shared" ca="1" si="210"/>
        <v>32.900000000000198</v>
      </c>
      <c r="D513" s="306">
        <f t="shared" ca="1" si="211"/>
        <v>-0.74592307992158347</v>
      </c>
      <c r="E513" s="307">
        <f t="shared" ca="1" si="212"/>
        <v>-2.7478272105578352</v>
      </c>
      <c r="F513" s="304">
        <f t="shared" ca="1" si="213"/>
        <v>2.8472716098471804</v>
      </c>
      <c r="G513" s="306">
        <f t="shared" ca="1" si="214"/>
        <v>12.411474745112789</v>
      </c>
      <c r="H513" s="307">
        <f t="shared" ca="1" si="215"/>
        <v>-118.48906695912758</v>
      </c>
      <c r="I513" s="304">
        <f t="shared" ca="1" si="216"/>
        <v>119.13733123665811</v>
      </c>
      <c r="J513" s="306">
        <f t="shared" ca="1" si="217"/>
        <v>747.19787706470595</v>
      </c>
      <c r="K513" s="307">
        <f t="shared" ca="1" si="218"/>
        <v>81.207060156518594</v>
      </c>
      <c r="L513" s="304">
        <f t="shared" ca="1" si="203"/>
        <v>751.59780076132995</v>
      </c>
      <c r="M513" s="306">
        <f t="shared" ca="1" si="219"/>
        <v>-1.4664290782813905</v>
      </c>
      <c r="N513" s="304">
        <f t="shared" ca="1" si="220"/>
        <v>-84.020197140783083</v>
      </c>
      <c r="P513" s="310">
        <f t="shared" ca="1" si="221"/>
        <v>23</v>
      </c>
      <c r="Q513" s="304">
        <f t="shared" ca="1" si="222"/>
        <v>0</v>
      </c>
      <c r="R513" s="306">
        <f t="shared" ca="1" si="223"/>
        <v>0</v>
      </c>
      <c r="S513" s="307">
        <f t="shared" ca="1" si="224"/>
        <v>7.9769999999999968</v>
      </c>
      <c r="T513" s="304">
        <f t="shared" ca="1" si="204"/>
        <v>78.254369999999966</v>
      </c>
      <c r="U513" s="311">
        <f t="shared" ca="1" si="205"/>
        <v>0</v>
      </c>
      <c r="V513" s="306">
        <f t="shared" ca="1" si="206"/>
        <v>1.2150923636319542</v>
      </c>
      <c r="W513" s="304">
        <f t="shared" ca="1" si="207"/>
        <v>56.969008223303504</v>
      </c>
      <c r="Y513" s="314" t="str">
        <f t="shared" ca="1" si="225"/>
        <v/>
      </c>
      <c r="Z513" s="315" t="str">
        <f t="shared" ca="1" si="226"/>
        <v/>
      </c>
      <c r="AA513" s="316" t="str">
        <f t="shared" ca="1" si="227"/>
        <v/>
      </c>
      <c r="AC513" s="310" t="e">
        <f t="shared" ca="1" si="228"/>
        <v>#N/A</v>
      </c>
      <c r="AD513" s="323" t="e">
        <f t="shared" ca="1" si="229"/>
        <v>#N/A</v>
      </c>
      <c r="AE513" s="324" t="e">
        <f t="shared" ca="1" si="208"/>
        <v>#N/A</v>
      </c>
      <c r="AG513" s="306">
        <f t="shared" ca="1" si="230"/>
        <v>2.6542764948578883</v>
      </c>
      <c r="AH513" s="304">
        <f t="shared" ca="1" si="231"/>
        <v>-7.1014565934811591</v>
      </c>
    </row>
    <row r="514" spans="1:34" x14ac:dyDescent="0.2">
      <c r="A514" s="347">
        <f t="shared" ca="1" si="209"/>
        <v>0.1</v>
      </c>
      <c r="B514" s="304">
        <f t="shared" ca="1" si="210"/>
        <v>33.000000000000199</v>
      </c>
      <c r="D514" s="306">
        <f t="shared" ca="1" si="211"/>
        <v>-0.74400282978393062</v>
      </c>
      <c r="E514" s="307">
        <f t="shared" ca="1" si="212"/>
        <v>-2.7072017486671802</v>
      </c>
      <c r="F514" s="304">
        <f t="shared" ca="1" si="213"/>
        <v>2.8075757369504983</v>
      </c>
      <c r="G514" s="306">
        <f t="shared" ca="1" si="214"/>
        <v>12.337074462134396</v>
      </c>
      <c r="H514" s="307">
        <f t="shared" ca="1" si="215"/>
        <v>-118.75978713399431</v>
      </c>
      <c r="I514" s="304">
        <f t="shared" ca="1" si="216"/>
        <v>119.39887121072749</v>
      </c>
      <c r="J514" s="306">
        <f t="shared" ca="1" si="217"/>
        <v>748.43530452506832</v>
      </c>
      <c r="K514" s="307">
        <f t="shared" ca="1" si="218"/>
        <v>69.34461745186249</v>
      </c>
      <c r="L514" s="304">
        <f t="shared" ca="1" si="203"/>
        <v>751.64092559484607</v>
      </c>
      <c r="M514" s="306">
        <f t="shared" ca="1" si="219"/>
        <v>-1.4672850203262489</v>
      </c>
      <c r="N514" s="304">
        <f t="shared" ca="1" si="220"/>
        <v>-84.069239007461263</v>
      </c>
      <c r="P514" s="310">
        <f t="shared" ca="1" si="221"/>
        <v>23</v>
      </c>
      <c r="Q514" s="304">
        <f t="shared" ca="1" si="222"/>
        <v>0</v>
      </c>
      <c r="R514" s="306">
        <f t="shared" ca="1" si="223"/>
        <v>0</v>
      </c>
      <c r="S514" s="307">
        <f t="shared" ca="1" si="224"/>
        <v>7.9769999999999968</v>
      </c>
      <c r="T514" s="304">
        <f t="shared" ca="1" si="204"/>
        <v>78.254369999999966</v>
      </c>
      <c r="U514" s="311">
        <f t="shared" ca="1" si="205"/>
        <v>0</v>
      </c>
      <c r="V514" s="306">
        <f t="shared" ca="1" si="206"/>
        <v>1.2165346357344762</v>
      </c>
      <c r="W514" s="304">
        <f t="shared" ca="1" si="207"/>
        <v>57.287326221848183</v>
      </c>
      <c r="Y514" s="314" t="str">
        <f t="shared" ca="1" si="225"/>
        <v/>
      </c>
      <c r="Z514" s="315" t="str">
        <f t="shared" ca="1" si="226"/>
        <v/>
      </c>
      <c r="AA514" s="316" t="str">
        <f t="shared" ca="1" si="227"/>
        <v/>
      </c>
      <c r="AC514" s="310">
        <f t="shared" ca="1" si="228"/>
        <v>33.000000000000199</v>
      </c>
      <c r="AD514" s="323">
        <f t="shared" ca="1" si="229"/>
        <v>748.43530452506832</v>
      </c>
      <c r="AE514" s="324" t="e">
        <f t="shared" ca="1" si="208"/>
        <v>#N/A</v>
      </c>
      <c r="AG514" s="306">
        <f t="shared" ca="1" si="230"/>
        <v>2.6149623606951957</v>
      </c>
      <c r="AH514" s="304">
        <f t="shared" ca="1" si="231"/>
        <v>-7.1416582955125394</v>
      </c>
    </row>
    <row r="515" spans="1:34" x14ac:dyDescent="0.2">
      <c r="A515" s="347">
        <f t="shared" ca="1" si="209"/>
        <v>0.1</v>
      </c>
      <c r="B515" s="304">
        <f t="shared" ca="1" si="210"/>
        <v>33.1000000000002</v>
      </c>
      <c r="D515" s="306">
        <f t="shared" ca="1" si="211"/>
        <v>-0.74204616641817989</v>
      </c>
      <c r="E515" s="307">
        <f t="shared" ca="1" si="212"/>
        <v>-2.6668766413870415</v>
      </c>
      <c r="F515" s="304">
        <f t="shared" ca="1" si="213"/>
        <v>2.7681877706311298</v>
      </c>
      <c r="G515" s="306">
        <f t="shared" ca="1" si="214"/>
        <v>12.262869845492578</v>
      </c>
      <c r="H515" s="307">
        <f t="shared" ca="1" si="215"/>
        <v>-119.02647479813301</v>
      </c>
      <c r="I515" s="304">
        <f t="shared" ca="1" si="216"/>
        <v>119.65650705130116</v>
      </c>
      <c r="J515" s="306">
        <f t="shared" ca="1" si="217"/>
        <v>749.66530174044965</v>
      </c>
      <c r="K515" s="307">
        <f t="shared" ca="1" si="218"/>
        <v>57.455304355256125</v>
      </c>
      <c r="L515" s="304">
        <f t="shared" ca="1" si="203"/>
        <v>751.86380191638068</v>
      </c>
      <c r="M515" s="306">
        <f t="shared" ca="1" si="219"/>
        <v>-1.4681321398737037</v>
      </c>
      <c r="N515" s="304">
        <f t="shared" ca="1" si="220"/>
        <v>-84.117775382273464</v>
      </c>
      <c r="P515" s="310">
        <f t="shared" ca="1" si="221"/>
        <v>23</v>
      </c>
      <c r="Q515" s="304">
        <f t="shared" ca="1" si="222"/>
        <v>0</v>
      </c>
      <c r="R515" s="306">
        <f t="shared" ca="1" si="223"/>
        <v>0</v>
      </c>
      <c r="S515" s="307">
        <f t="shared" ca="1" si="224"/>
        <v>7.9769999999999968</v>
      </c>
      <c r="T515" s="304">
        <f t="shared" ca="1" si="204"/>
        <v>78.254369999999966</v>
      </c>
      <c r="U515" s="311">
        <f t="shared" ca="1" si="205"/>
        <v>0</v>
      </c>
      <c r="V515" s="306">
        <f t="shared" ca="1" si="206"/>
        <v>1.2179818866085268</v>
      </c>
      <c r="W515" s="304">
        <f t="shared" ca="1" si="207"/>
        <v>57.603265534119942</v>
      </c>
      <c r="Y515" s="314" t="str">
        <f t="shared" ca="1" si="225"/>
        <v/>
      </c>
      <c r="Z515" s="315" t="str">
        <f t="shared" ca="1" si="226"/>
        <v/>
      </c>
      <c r="AA515" s="316" t="str">
        <f t="shared" ca="1" si="227"/>
        <v/>
      </c>
      <c r="AC515" s="310" t="e">
        <f t="shared" ca="1" si="228"/>
        <v>#N/A</v>
      </c>
      <c r="AD515" s="323" t="e">
        <f t="shared" ca="1" si="229"/>
        <v>#N/A</v>
      </c>
      <c r="AE515" s="324" t="e">
        <f t="shared" ca="1" si="208"/>
        <v>#N/A</v>
      </c>
      <c r="AG515" s="306">
        <f t="shared" ca="1" si="230"/>
        <v>2.5759290713183134</v>
      </c>
      <c r="AH515" s="304">
        <f t="shared" ca="1" si="231"/>
        <v>-7.1815627706967788</v>
      </c>
    </row>
    <row r="516" spans="1:34" x14ac:dyDescent="0.2">
      <c r="A516" s="347">
        <f t="shared" ca="1" si="209"/>
        <v>0.1</v>
      </c>
      <c r="B516" s="304">
        <f t="shared" ca="1" si="210"/>
        <v>33.200000000000202</v>
      </c>
      <c r="D516" s="306">
        <f t="shared" ca="1" si="211"/>
        <v>-0.74005382915547346</v>
      </c>
      <c r="E516" s="307">
        <f t="shared" ca="1" si="212"/>
        <v>-2.6268528611095592</v>
      </c>
      <c r="F516" s="304">
        <f t="shared" ca="1" si="213"/>
        <v>2.729108943220691</v>
      </c>
      <c r="G516" s="306">
        <f t="shared" ca="1" si="214"/>
        <v>12.18886446257703</v>
      </c>
      <c r="H516" s="307">
        <f t="shared" ca="1" si="215"/>
        <v>-119.28916008424396</v>
      </c>
      <c r="I516" s="304">
        <f t="shared" ca="1" si="216"/>
        <v>119.91026699366263</v>
      </c>
      <c r="J516" s="306">
        <f t="shared" ca="1" si="217"/>
        <v>750.88788845585316</v>
      </c>
      <c r="K516" s="307">
        <f t="shared" ca="1" si="218"/>
        <v>45.539522611137272</v>
      </c>
      <c r="L516" s="304">
        <f t="shared" ref="L516:L579" ca="1" si="232">SQRT(pos_x^2+pos_z^2)</f>
        <v>752.2675515728032</v>
      </c>
      <c r="M516" s="306">
        <f t="shared" ca="1" si="219"/>
        <v>-1.4689705731105023</v>
      </c>
      <c r="N516" s="304">
        <f t="shared" ca="1" si="220"/>
        <v>-84.165814068145508</v>
      </c>
      <c r="P516" s="310">
        <f t="shared" ca="1" si="221"/>
        <v>23</v>
      </c>
      <c r="Q516" s="304">
        <f t="shared" ca="1" si="222"/>
        <v>0</v>
      </c>
      <c r="R516" s="306">
        <f t="shared" ca="1" si="223"/>
        <v>0</v>
      </c>
      <c r="S516" s="307">
        <f t="shared" ca="1" si="224"/>
        <v>7.9769999999999968</v>
      </c>
      <c r="T516" s="304">
        <f t="shared" ref="T516:T579" ca="1" si="233">m*g</f>
        <v>78.254369999999966</v>
      </c>
      <c r="U516" s="311">
        <f t="shared" ref="U516:U579" ca="1" si="234">IF(pos_xz&lt;L_rampe,Poids*COS(Beta),0)</f>
        <v>0</v>
      </c>
      <c r="V516" s="306">
        <f t="shared" ref="V516:V579" ca="1" si="235">Rho_moyen*(20000-Alt_rampe-pos_z)/(20000+Alt_rampe+pos_z)</f>
        <v>1.219434081942697</v>
      </c>
      <c r="W516" s="304">
        <f t="shared" ref="W516:W579" ca="1" si="236">1/2*Rho*Sref*Cx*vit_xz^2</f>
        <v>57.916819097397898</v>
      </c>
      <c r="Y516" s="314" t="str">
        <f t="shared" ca="1" si="225"/>
        <v/>
      </c>
      <c r="Z516" s="315" t="str">
        <f t="shared" ca="1" si="226"/>
        <v/>
      </c>
      <c r="AA516" s="316" t="str">
        <f t="shared" ca="1" si="227"/>
        <v/>
      </c>
      <c r="AC516" s="310" t="e">
        <f t="shared" ca="1" si="228"/>
        <v>#N/A</v>
      </c>
      <c r="AD516" s="323" t="e">
        <f t="shared" ca="1" si="229"/>
        <v>#N/A</v>
      </c>
      <c r="AE516" s="324" t="e">
        <f t="shared" ref="AE516:AE579" ca="1" si="237">IF(t&lt;T_para, pos_z, NA())</f>
        <v>#N/A</v>
      </c>
      <c r="AG516" s="306">
        <f t="shared" ca="1" si="230"/>
        <v>2.5371779568620392</v>
      </c>
      <c r="AH516" s="304">
        <f t="shared" ca="1" si="231"/>
        <v>-7.2211690527917716</v>
      </c>
    </row>
    <row r="517" spans="1:34" x14ac:dyDescent="0.2">
      <c r="A517" s="347">
        <f t="shared" ref="A517:A580" ca="1" si="238">IF(B516+0.01&lt;=T_ini+ROUNDUP(Temps_fin_propu,0), 0.01, IF(K516&gt;0, 0.1, 0.0001))</f>
        <v>0.1</v>
      </c>
      <c r="B517" s="304">
        <f t="shared" ref="B517:B580" ca="1" si="239">B516+pas</f>
        <v>33.300000000000203</v>
      </c>
      <c r="D517" s="306">
        <f t="shared" ref="D517:D580" ca="1" si="240">IF(AND(L516&lt;L_rampe,Poussee&lt;Poids*SIN(M516)),0,(-W516+Poussee)/m*COS(M516)-U516/m*SIN(M516))</f>
        <v>-0.73802655303770404</v>
      </c>
      <c r="E517" s="307">
        <f t="shared" ref="E517:E580" ca="1" si="241">IF(AND(L516&lt;L_rampe,Poussee&lt;Poids*SIN(M516)),0,(-W516+Poussee)/m*SIN(M516)+U516/m*COS(M516)-Poids/m)</f>
        <v>-2.587131298650613</v>
      </c>
      <c r="F517" s="304">
        <f t="shared" ref="F517:F580" ca="1" si="242">SQRT(acc_x^2+acc_z^2)</f>
        <v>2.690340415160565</v>
      </c>
      <c r="G517" s="306">
        <f t="shared" ref="G517:G580" ca="1" si="243">G516+acc_x*pas</f>
        <v>12.115061807273259</v>
      </c>
      <c r="H517" s="307">
        <f t="shared" ref="H517:H580" ca="1" si="244">H516+acc_z*pas</f>
        <v>-119.54787321410902</v>
      </c>
      <c r="I517" s="304">
        <f t="shared" ref="I517:I580" ca="1" si="245">SQRT(vit_x^2+vit_z^2)</f>
        <v>120.16017939654857</v>
      </c>
      <c r="J517" s="306">
        <f t="shared" ref="J517:J580" ca="1" si="246">J516+0.5*(vit_x+G516)*pas*(K516&gt;=0)</f>
        <v>752.10308476934563</v>
      </c>
      <c r="K517" s="307">
        <f t="shared" ref="K517:K580" ca="1" si="247">K516+0.5*(vit_z+H516)*pas</f>
        <v>33.597670946219623</v>
      </c>
      <c r="L517" s="304">
        <f t="shared" ca="1" si="232"/>
        <v>752.8531421283808</v>
      </c>
      <c r="M517" s="306">
        <f t="shared" ref="M517:M580" ca="1" si="248">IF(AND(L516&gt;L_rampe,G517&gt;0),ATAN2(G517,H517),$M$4)</f>
        <v>-1.4698004532418441</v>
      </c>
      <c r="N517" s="304">
        <f t="shared" ref="N517:N580" ca="1" si="249">DEGREES(Beta)</f>
        <v>-84.213362697173167</v>
      </c>
      <c r="P517" s="310">
        <f t="shared" ref="P517:P580" ca="1" si="250">MATCH(t-pas/2-T_ini,CdP_t)</f>
        <v>23</v>
      </c>
      <c r="Q517" s="304">
        <f t="shared" ref="Q517:Q580" ca="1" si="251">(INDEX(CdP,2,i_P+1)-INDEX(CdP,2,i_P+0))/(INDEX(CdP,1,i_P+1)-INDEX(CdP,1,i_P+0))*(t-pas/2-T_ini-INDEX(CdP,1,i_P+0))+INDEX(CdP,2,i_P+0)</f>
        <v>0</v>
      </c>
      <c r="R517" s="306">
        <f t="shared" ref="R517:R580" ca="1" si="252">Poussee/(g*ISP)</f>
        <v>0</v>
      </c>
      <c r="S517" s="307">
        <f t="shared" ref="S517:S580" ca="1" si="253">S516-Débit*pas</f>
        <v>7.9769999999999968</v>
      </c>
      <c r="T517" s="304">
        <f t="shared" ca="1" si="233"/>
        <v>78.254369999999966</v>
      </c>
      <c r="U517" s="311">
        <f t="shared" ca="1" si="234"/>
        <v>0</v>
      </c>
      <c r="V517" s="306">
        <f t="shared" ca="1" si="235"/>
        <v>1.2208911876353785</v>
      </c>
      <c r="W517" s="304">
        <f t="shared" ca="1" si="236"/>
        <v>58.22798048333258</v>
      </c>
      <c r="Y517" s="314" t="str">
        <f t="shared" ref="Y517:Y580" ca="1" si="254">IF(AND(pos_z&lt;=0,K516&gt;0),"Impact balistique","") &amp; IF(AND(H518&lt;0,vit_z&gt;=0),"Apogée","") &amp; IF(AND(Poussee=0,Q516&gt;0),"Fin de propulsion","") &amp; IF(AND(L518&gt;L_rampe,pos_xz&lt;=L_rampe),"Sortie de rampe","")</f>
        <v/>
      </c>
      <c r="Z517" s="315" t="str">
        <f t="shared" ref="Z517:Z580" ca="1" si="255">IF(ABS(t-T_para)&lt;pas/2,"Para","")</f>
        <v/>
      </c>
      <c r="AA517" s="316" t="str">
        <f t="shared" ref="AA517:AA580" ca="1" si="256">IF(ABS(t-T_satellite)&lt;pas/2,"Satellite","")</f>
        <v/>
      </c>
      <c r="AC517" s="310" t="e">
        <f t="shared" ref="AC517:AC580" ca="1" si="257">IF(ABS(t-ROUND(t,0))&lt;0.001,t,NA())</f>
        <v>#N/A</v>
      </c>
      <c r="AD517" s="323" t="e">
        <f t="shared" ref="AD517:AD580" ca="1" si="258">IF(ABS(t-ROUND(t,0))&lt;0.001,pos_x,NA())</f>
        <v>#N/A</v>
      </c>
      <c r="AE517" s="324" t="e">
        <f t="shared" ca="1" si="237"/>
        <v>#N/A</v>
      </c>
      <c r="AG517" s="306">
        <f t="shared" ref="AG517:AG580" ca="1" si="259">IF(AND(L516&lt;L_rampe,Poussee&lt;Poids*SIN(M516)),0,(-W516+Poussee)/m-Poids*SIN(M516)/m)</f>
        <v>2.4987102566852473</v>
      </c>
      <c r="AH517" s="304">
        <f t="shared" ref="AH517:AH580" ca="1" si="260">IF(AND(L516&lt;L_rampe,Poussee&lt;Poids*SIN(M516)), g*SIN(M516), (-W516+Poussee)/m)</f>
        <v>-7.2604762564119243</v>
      </c>
    </row>
    <row r="518" spans="1:34" x14ac:dyDescent="0.2">
      <c r="A518" s="347">
        <f t="shared" ca="1" si="238"/>
        <v>0.1</v>
      </c>
      <c r="B518" s="304">
        <f t="shared" ca="1" si="239"/>
        <v>33.400000000000205</v>
      </c>
      <c r="D518" s="306">
        <f t="shared" ca="1" si="240"/>
        <v>-0.73596506866801181</v>
      </c>
      <c r="E518" s="307">
        <f t="shared" ca="1" si="241"/>
        <v>-2.5477127645922453</v>
      </c>
      <c r="F518" s="304">
        <f t="shared" ca="1" si="242"/>
        <v>2.6518832766857918</v>
      </c>
      <c r="G518" s="306">
        <f t="shared" ca="1" si="243"/>
        <v>12.041465300406458</v>
      </c>
      <c r="H518" s="307">
        <f t="shared" ca="1" si="244"/>
        <v>-119.80264449056824</v>
      </c>
      <c r="I518" s="304">
        <f t="shared" ca="1" si="245"/>
        <v>120.40627273325246</v>
      </c>
      <c r="J518" s="306">
        <f t="shared" ca="1" si="246"/>
        <v>753.31091112472961</v>
      </c>
      <c r="K518" s="307">
        <f t="shared" ca="1" si="247"/>
        <v>21.630145060985761</v>
      </c>
      <c r="L518" s="304">
        <f t="shared" ca="1" si="232"/>
        <v>753.62138504353072</v>
      </c>
      <c r="M518" s="306">
        <f t="shared" ca="1" si="248"/>
        <v>-1.4706219105725</v>
      </c>
      <c r="N518" s="304">
        <f t="shared" ca="1" si="249"/>
        <v>-84.260428735269826</v>
      </c>
      <c r="P518" s="310">
        <f t="shared" ca="1" si="250"/>
        <v>23</v>
      </c>
      <c r="Q518" s="304">
        <f t="shared" ca="1" si="251"/>
        <v>0</v>
      </c>
      <c r="R518" s="306">
        <f t="shared" ca="1" si="252"/>
        <v>0</v>
      </c>
      <c r="S518" s="307">
        <f t="shared" ca="1" si="253"/>
        <v>7.9769999999999968</v>
      </c>
      <c r="T518" s="304">
        <f t="shared" ca="1" si="233"/>
        <v>78.254369999999966</v>
      </c>
      <c r="U518" s="311">
        <f t="shared" ca="1" si="234"/>
        <v>0</v>
      </c>
      <c r="V518" s="306">
        <f t="shared" ca="1" si="235"/>
        <v>1.2223531697960923</v>
      </c>
      <c r="W518" s="304">
        <f t="shared" ca="1" si="236"/>
        <v>58.536743887295934</v>
      </c>
      <c r="Y518" s="314" t="str">
        <f t="shared" ca="1" si="254"/>
        <v/>
      </c>
      <c r="Z518" s="315" t="str">
        <f t="shared" ca="1" si="255"/>
        <v/>
      </c>
      <c r="AA518" s="316" t="str">
        <f t="shared" ca="1" si="256"/>
        <v/>
      </c>
      <c r="AC518" s="310" t="e">
        <f t="shared" ca="1" si="257"/>
        <v>#N/A</v>
      </c>
      <c r="AD518" s="323" t="e">
        <f t="shared" ca="1" si="258"/>
        <v>#N/A</v>
      </c>
      <c r="AE518" s="324" t="e">
        <f t="shared" ca="1" si="237"/>
        <v>#N/A</v>
      </c>
      <c r="AG518" s="306">
        <f t="shared" ca="1" si="259"/>
        <v>2.4605271210258035</v>
      </c>
      <c r="AH518" s="304">
        <f t="shared" ca="1" si="260"/>
        <v>-7.2994835756967031</v>
      </c>
    </row>
    <row r="519" spans="1:34" x14ac:dyDescent="0.2">
      <c r="A519" s="347">
        <f t="shared" ca="1" si="238"/>
        <v>0.1</v>
      </c>
      <c r="B519" s="304">
        <f t="shared" ca="1" si="239"/>
        <v>33.500000000000206</v>
      </c>
      <c r="D519" s="306">
        <f t="shared" ca="1" si="240"/>
        <v>-0.73387010206675851</v>
      </c>
      <c r="E519" s="307">
        <f t="shared" ca="1" si="241"/>
        <v>-2.508597990628834</v>
      </c>
      <c r="F519" s="304">
        <f t="shared" ca="1" si="242"/>
        <v>2.6137385495291028</v>
      </c>
      <c r="G519" s="306">
        <f t="shared" ca="1" si="243"/>
        <v>11.968078290199781</v>
      </c>
      <c r="H519" s="307">
        <f t="shared" ca="1" si="244"/>
        <v>-120.05350428963112</v>
      </c>
      <c r="I519" s="304">
        <f t="shared" ca="1" si="245"/>
        <v>120.64857558289211</v>
      </c>
      <c r="J519" s="306">
        <f t="shared" ca="1" si="246"/>
        <v>754.51138830425998</v>
      </c>
      <c r="K519" s="307">
        <f t="shared" ca="1" si="247"/>
        <v>9.6373376219757922</v>
      </c>
      <c r="L519" s="304">
        <f t="shared" ca="1" si="232"/>
        <v>754.57293441870922</v>
      </c>
      <c r="M519" s="306">
        <f t="shared" ca="1" si="248"/>
        <v>-1.4714350725853396</v>
      </c>
      <c r="N519" s="304">
        <f t="shared" ca="1" si="249"/>
        <v>-84.307019486665894</v>
      </c>
      <c r="P519" s="310">
        <f t="shared" ca="1" si="250"/>
        <v>23</v>
      </c>
      <c r="Q519" s="304">
        <f t="shared" ca="1" si="251"/>
        <v>0</v>
      </c>
      <c r="R519" s="306">
        <f t="shared" ca="1" si="252"/>
        <v>0</v>
      </c>
      <c r="S519" s="307">
        <f t="shared" ca="1" si="253"/>
        <v>7.9769999999999968</v>
      </c>
      <c r="T519" s="304">
        <f t="shared" ca="1" si="233"/>
        <v>78.254369999999966</v>
      </c>
      <c r="U519" s="311">
        <f t="shared" ca="1" si="234"/>
        <v>0</v>
      </c>
      <c r="V519" s="306">
        <f t="shared" ca="1" si="235"/>
        <v>1.2238199947467592</v>
      </c>
      <c r="W519" s="304">
        <f t="shared" ca="1" si="236"/>
        <v>58.84310411770899</v>
      </c>
      <c r="Y519" s="314" t="str">
        <f t="shared" ca="1" si="254"/>
        <v/>
      </c>
      <c r="Z519" s="315" t="str">
        <f t="shared" ca="1" si="255"/>
        <v/>
      </c>
      <c r="AA519" s="316" t="str">
        <f t="shared" ca="1" si="256"/>
        <v/>
      </c>
      <c r="AC519" s="310" t="e">
        <f t="shared" ca="1" si="257"/>
        <v>#N/A</v>
      </c>
      <c r="AD519" s="323" t="e">
        <f t="shared" ca="1" si="258"/>
        <v>#N/A</v>
      </c>
      <c r="AE519" s="324" t="e">
        <f t="shared" ca="1" si="237"/>
        <v>#N/A</v>
      </c>
      <c r="AG519" s="306">
        <f t="shared" ca="1" si="259"/>
        <v>2.422629612646908</v>
      </c>
      <c r="AH519" s="304">
        <f t="shared" ca="1" si="260"/>
        <v>-7.3381902829755496</v>
      </c>
    </row>
    <row r="520" spans="1:34" x14ac:dyDescent="0.2">
      <c r="A520" s="347">
        <f t="shared" ca="1" si="238"/>
        <v>0.1</v>
      </c>
      <c r="B520" s="304">
        <f t="shared" ca="1" si="239"/>
        <v>33.600000000000207</v>
      </c>
      <c r="D520" s="306">
        <f t="shared" ca="1" si="240"/>
        <v>-0.73174237453288138</v>
      </c>
      <c r="E520" s="307">
        <f t="shared" ca="1" si="241"/>
        <v>-2.4697876309161648</v>
      </c>
      <c r="F520" s="304">
        <f t="shared" ca="1" si="242"/>
        <v>2.5759071886450999</v>
      </c>
      <c r="G520" s="306">
        <f t="shared" ca="1" si="243"/>
        <v>11.894904052746492</v>
      </c>
      <c r="H520" s="307">
        <f t="shared" ca="1" si="244"/>
        <v>-120.30048305272274</v>
      </c>
      <c r="I520" s="304">
        <f t="shared" ca="1" si="245"/>
        <v>120.88711662184053</v>
      </c>
      <c r="J520" s="306">
        <f t="shared" ca="1" si="246"/>
        <v>755.70453742140728</v>
      </c>
      <c r="K520" s="307">
        <f t="shared" ca="1" si="247"/>
        <v>-2.3803617451419008</v>
      </c>
      <c r="L520" s="304">
        <f t="shared" ca="1" si="232"/>
        <v>755.70828631247707</v>
      </c>
      <c r="M520" s="306">
        <f t="shared" ca="1" si="248"/>
        <v>-1.4722400640173559</v>
      </c>
      <c r="N520" s="304">
        <f t="shared" ca="1" si="249"/>
        <v>-84.353142098264627</v>
      </c>
      <c r="P520" s="310">
        <f t="shared" ca="1" si="250"/>
        <v>23</v>
      </c>
      <c r="Q520" s="304">
        <f t="shared" ca="1" si="251"/>
        <v>0</v>
      </c>
      <c r="R520" s="306">
        <f t="shared" ca="1" si="252"/>
        <v>0</v>
      </c>
      <c r="S520" s="307">
        <f t="shared" ca="1" si="253"/>
        <v>7.9769999999999968</v>
      </c>
      <c r="T520" s="304">
        <f t="shared" ca="1" si="233"/>
        <v>78.254369999999966</v>
      </c>
      <c r="U520" s="311">
        <f t="shared" ca="1" si="234"/>
        <v>0</v>
      </c>
      <c r="V520" s="306">
        <f t="shared" ca="1" si="235"/>
        <v>1.2252916290229083</v>
      </c>
      <c r="W520" s="304">
        <f t="shared" ca="1" si="236"/>
        <v>59.14705658535356</v>
      </c>
      <c r="Y520" s="314" t="str">
        <f t="shared" ca="1" si="254"/>
        <v>Impact balistique</v>
      </c>
      <c r="Z520" s="315" t="str">
        <f t="shared" ca="1" si="255"/>
        <v/>
      </c>
      <c r="AA520" s="316" t="str">
        <f t="shared" ca="1" si="256"/>
        <v/>
      </c>
      <c r="AC520" s="310" t="e">
        <f t="shared" ca="1" si="257"/>
        <v>#N/A</v>
      </c>
      <c r="AD520" s="323" t="e">
        <f t="shared" ca="1" si="258"/>
        <v>#N/A</v>
      </c>
      <c r="AE520" s="324" t="e">
        <f t="shared" ca="1" si="237"/>
        <v>#N/A</v>
      </c>
      <c r="AG520" s="306">
        <f t="shared" ca="1" si="259"/>
        <v>2.3850187084745649</v>
      </c>
      <c r="AH520" s="304">
        <f t="shared" ca="1" si="260"/>
        <v>-7.3765957274299883</v>
      </c>
    </row>
    <row r="521" spans="1:34" x14ac:dyDescent="0.2">
      <c r="A521" s="347">
        <f t="shared" ca="1" si="238"/>
        <v>1E-4</v>
      </c>
      <c r="B521" s="304">
        <f t="shared" ca="1" si="239"/>
        <v>33.600100000000211</v>
      </c>
      <c r="D521" s="306">
        <f t="shared" ca="1" si="240"/>
        <v>-0.72958260251059326</v>
      </c>
      <c r="E521" s="307">
        <f t="shared" ca="1" si="241"/>
        <v>-2.4312822634225926</v>
      </c>
      <c r="F521" s="304">
        <f t="shared" ca="1" si="242"/>
        <v>2.5383900839546736</v>
      </c>
      <c r="G521" s="306">
        <f t="shared" ca="1" si="243"/>
        <v>11.894831094486241</v>
      </c>
      <c r="H521" s="307">
        <f t="shared" ca="1" si="244"/>
        <v>-120.30072618094908</v>
      </c>
      <c r="I521" s="304">
        <f t="shared" ca="1" si="245"/>
        <v>120.8873513914092</v>
      </c>
      <c r="J521" s="306">
        <f t="shared" ca="1" si="246"/>
        <v>755.70453742140728</v>
      </c>
      <c r="K521" s="307">
        <f t="shared" ca="1" si="247"/>
        <v>-2.3923918056035842</v>
      </c>
      <c r="L521" s="304">
        <f t="shared" ca="1" si="232"/>
        <v>755.70832430101939</v>
      </c>
      <c r="M521" s="306">
        <f t="shared" ca="1" si="248"/>
        <v>-1.4722408625065977</v>
      </c>
      <c r="N521" s="304">
        <f t="shared" ca="1" si="249"/>
        <v>-84.353187848328176</v>
      </c>
      <c r="P521" s="310">
        <f t="shared" ca="1" si="250"/>
        <v>23</v>
      </c>
      <c r="Q521" s="304">
        <f t="shared" ca="1" si="251"/>
        <v>0</v>
      </c>
      <c r="R521" s="306">
        <f t="shared" ca="1" si="252"/>
        <v>0</v>
      </c>
      <c r="S521" s="307">
        <f t="shared" ca="1" si="253"/>
        <v>7.9769999999999968</v>
      </c>
      <c r="T521" s="304">
        <f t="shared" ca="1" si="233"/>
        <v>78.254369999999966</v>
      </c>
      <c r="U521" s="311">
        <f t="shared" ca="1" si="234"/>
        <v>0</v>
      </c>
      <c r="V521" s="306">
        <f t="shared" ca="1" si="235"/>
        <v>1.225293103057054</v>
      </c>
      <c r="W521" s="304">
        <f t="shared" ca="1" si="236"/>
        <v>59.147357473973877</v>
      </c>
      <c r="Y521" s="314" t="str">
        <f t="shared" ca="1" si="254"/>
        <v/>
      </c>
      <c r="Z521" s="315" t="str">
        <f t="shared" ca="1" si="255"/>
        <v/>
      </c>
      <c r="AA521" s="316" t="str">
        <f t="shared" ca="1" si="256"/>
        <v/>
      </c>
      <c r="AC521" s="310" t="e">
        <f t="shared" ca="1" si="257"/>
        <v>#N/A</v>
      </c>
      <c r="AD521" s="323" t="e">
        <f t="shared" ca="1" si="258"/>
        <v>#N/A</v>
      </c>
      <c r="AE521" s="324" t="e">
        <f t="shared" ca="1" si="237"/>
        <v>#N/A</v>
      </c>
      <c r="AG521" s="306">
        <f t="shared" ca="1" si="259"/>
        <v>2.3476953012258672</v>
      </c>
      <c r="AH521" s="304">
        <f t="shared" ca="1" si="260"/>
        <v>-7.4146993337537399</v>
      </c>
    </row>
    <row r="522" spans="1:34" x14ac:dyDescent="0.2">
      <c r="A522" s="347">
        <f t="shared" ca="1" si="238"/>
        <v>1E-4</v>
      </c>
      <c r="B522" s="304">
        <f t="shared" ca="1" si="239"/>
        <v>33.600200000000214</v>
      </c>
      <c r="D522" s="306">
        <f t="shared" ca="1" si="240"/>
        <v>-0.72958042213340502</v>
      </c>
      <c r="E522" s="307">
        <f t="shared" ca="1" si="241"/>
        <v>-2.4312441443799324</v>
      </c>
      <c r="F522" s="304">
        <f t="shared" ca="1" si="242"/>
        <v>2.5383529466845358</v>
      </c>
      <c r="G522" s="306">
        <f t="shared" ca="1" si="243"/>
        <v>11.894758136444027</v>
      </c>
      <c r="H522" s="307">
        <f t="shared" ca="1" si="244"/>
        <v>-120.30096930536352</v>
      </c>
      <c r="I522" s="304">
        <f t="shared" ca="1" si="245"/>
        <v>120.887586157283</v>
      </c>
      <c r="J522" s="306">
        <f t="shared" ca="1" si="246"/>
        <v>755.70453742140728</v>
      </c>
      <c r="K522" s="307">
        <f t="shared" ca="1" si="247"/>
        <v>-2.4044218903779</v>
      </c>
      <c r="L522" s="304">
        <f t="shared" ca="1" si="232"/>
        <v>755.70836248114267</v>
      </c>
      <c r="M522" s="306">
        <f t="shared" ca="1" si="248"/>
        <v>-1.4722416609878406</v>
      </c>
      <c r="N522" s="304">
        <f t="shared" ca="1" si="249"/>
        <v>-84.353233597933411</v>
      </c>
      <c r="P522" s="310">
        <f t="shared" ca="1" si="250"/>
        <v>23</v>
      </c>
      <c r="Q522" s="304">
        <f t="shared" ca="1" si="251"/>
        <v>0</v>
      </c>
      <c r="R522" s="306">
        <f t="shared" ca="1" si="252"/>
        <v>0</v>
      </c>
      <c r="S522" s="307">
        <f t="shared" ca="1" si="253"/>
        <v>7.9769999999999968</v>
      </c>
      <c r="T522" s="304">
        <f t="shared" ca="1" si="233"/>
        <v>78.254369999999966</v>
      </c>
      <c r="U522" s="311">
        <f t="shared" ca="1" si="234"/>
        <v>0</v>
      </c>
      <c r="V522" s="306">
        <f t="shared" ca="1" si="235"/>
        <v>1.225294577095952</v>
      </c>
      <c r="W522" s="304">
        <f t="shared" ca="1" si="236"/>
        <v>59.147658360206847</v>
      </c>
      <c r="Y522" s="314" t="str">
        <f t="shared" ca="1" si="254"/>
        <v/>
      </c>
      <c r="Z522" s="315" t="str">
        <f t="shared" ca="1" si="255"/>
        <v/>
      </c>
      <c r="AA522" s="316" t="str">
        <f t="shared" ca="1" si="256"/>
        <v/>
      </c>
      <c r="AC522" s="310" t="e">
        <f t="shared" ca="1" si="257"/>
        <v>#N/A</v>
      </c>
      <c r="AD522" s="323" t="e">
        <f t="shared" ca="1" si="258"/>
        <v>#N/A</v>
      </c>
      <c r="AE522" s="324" t="e">
        <f t="shared" ca="1" si="237"/>
        <v>#N/A</v>
      </c>
      <c r="AG522" s="306">
        <f t="shared" ca="1" si="259"/>
        <v>2.3476583524612948</v>
      </c>
      <c r="AH522" s="304">
        <f t="shared" ca="1" si="260"/>
        <v>-7.4147370532749033</v>
      </c>
    </row>
    <row r="523" spans="1:34" x14ac:dyDescent="0.2">
      <c r="A523" s="347">
        <f t="shared" ca="1" si="238"/>
        <v>1E-4</v>
      </c>
      <c r="B523" s="304">
        <f t="shared" ca="1" si="239"/>
        <v>33.600300000000217</v>
      </c>
      <c r="D523" s="306">
        <f t="shared" ca="1" si="240"/>
        <v>-0.72957824172538166</v>
      </c>
      <c r="E523" s="307">
        <f t="shared" ca="1" si="241"/>
        <v>-2.431206025639713</v>
      </c>
      <c r="F523" s="304">
        <f t="shared" ca="1" si="242"/>
        <v>2.5383158097261949</v>
      </c>
      <c r="G523" s="306">
        <f t="shared" ca="1" si="243"/>
        <v>11.894685178619854</v>
      </c>
      <c r="H523" s="307">
        <f t="shared" ca="1" si="244"/>
        <v>-120.30121242596609</v>
      </c>
      <c r="I523" s="304">
        <f t="shared" ca="1" si="245"/>
        <v>120.88782091946193</v>
      </c>
      <c r="J523" s="306">
        <f t="shared" ca="1" si="246"/>
        <v>755.70453742140728</v>
      </c>
      <c r="K523" s="307">
        <f t="shared" ca="1" si="247"/>
        <v>-2.4164519994644666</v>
      </c>
      <c r="L523" s="304">
        <f t="shared" ca="1" si="232"/>
        <v>755.70840085284806</v>
      </c>
      <c r="M523" s="306">
        <f t="shared" ca="1" si="248"/>
        <v>-1.4722424594610848</v>
      </c>
      <c r="N523" s="304">
        <f t="shared" ca="1" si="249"/>
        <v>-84.35327934708036</v>
      </c>
      <c r="P523" s="310">
        <f t="shared" ca="1" si="250"/>
        <v>23</v>
      </c>
      <c r="Q523" s="304">
        <f t="shared" ca="1" si="251"/>
        <v>0</v>
      </c>
      <c r="R523" s="306">
        <f t="shared" ca="1" si="252"/>
        <v>0</v>
      </c>
      <c r="S523" s="307">
        <f t="shared" ca="1" si="253"/>
        <v>7.9769999999999968</v>
      </c>
      <c r="T523" s="304">
        <f t="shared" ca="1" si="233"/>
        <v>78.254369999999966</v>
      </c>
      <c r="U523" s="311">
        <f t="shared" ca="1" si="234"/>
        <v>0</v>
      </c>
      <c r="V523" s="306">
        <f t="shared" ca="1" si="235"/>
        <v>1.2252960511396027</v>
      </c>
      <c r="W523" s="304">
        <f t="shared" ca="1" si="236"/>
        <v>59.147959244052487</v>
      </c>
      <c r="Y523" s="314" t="str">
        <f t="shared" ca="1" si="254"/>
        <v/>
      </c>
      <c r="Z523" s="315" t="str">
        <f t="shared" ca="1" si="255"/>
        <v/>
      </c>
      <c r="AA523" s="316" t="str">
        <f t="shared" ca="1" si="256"/>
        <v/>
      </c>
      <c r="AC523" s="310" t="e">
        <f t="shared" ca="1" si="257"/>
        <v>#N/A</v>
      </c>
      <c r="AD523" s="323" t="e">
        <f t="shared" ca="1" si="258"/>
        <v>#N/A</v>
      </c>
      <c r="AE523" s="324" t="e">
        <f t="shared" ca="1" si="237"/>
        <v>#N/A</v>
      </c>
      <c r="AG523" s="306">
        <f t="shared" ca="1" si="259"/>
        <v>2.347621403982056</v>
      </c>
      <c r="AH523" s="304">
        <f t="shared" ca="1" si="260"/>
        <v>-7.414774772496787</v>
      </c>
    </row>
    <row r="524" spans="1:34" x14ac:dyDescent="0.2">
      <c r="A524" s="347">
        <f t="shared" ca="1" si="238"/>
        <v>1E-4</v>
      </c>
      <c r="B524" s="304">
        <f t="shared" ca="1" si="239"/>
        <v>33.600400000000221</v>
      </c>
      <c r="D524" s="306">
        <f t="shared" ca="1" si="240"/>
        <v>-0.72957606128652319</v>
      </c>
      <c r="E524" s="307">
        <f t="shared" ca="1" si="241"/>
        <v>-2.4311679072019317</v>
      </c>
      <c r="F524" s="304">
        <f t="shared" ca="1" si="242"/>
        <v>2.5382786730796476</v>
      </c>
      <c r="G524" s="306">
        <f t="shared" ca="1" si="243"/>
        <v>11.894612221013725</v>
      </c>
      <c r="H524" s="307">
        <f t="shared" ca="1" si="244"/>
        <v>-120.3014555427568</v>
      </c>
      <c r="I524" s="304">
        <f t="shared" ca="1" si="245"/>
        <v>120.88805567794603</v>
      </c>
      <c r="J524" s="306">
        <f t="shared" ca="1" si="246"/>
        <v>755.70453742140728</v>
      </c>
      <c r="K524" s="307">
        <f t="shared" ca="1" si="247"/>
        <v>-2.4284821328629027</v>
      </c>
      <c r="L524" s="304">
        <f t="shared" ca="1" si="232"/>
        <v>755.70843941613668</v>
      </c>
      <c r="M524" s="306">
        <f t="shared" ca="1" si="248"/>
        <v>-1.47224325792633</v>
      </c>
      <c r="N524" s="304">
        <f t="shared" ca="1" si="249"/>
        <v>-84.353325095768994</v>
      </c>
      <c r="P524" s="310">
        <f t="shared" ca="1" si="250"/>
        <v>23</v>
      </c>
      <c r="Q524" s="304">
        <f t="shared" ca="1" si="251"/>
        <v>0</v>
      </c>
      <c r="R524" s="306">
        <f t="shared" ca="1" si="252"/>
        <v>0</v>
      </c>
      <c r="S524" s="307">
        <f t="shared" ca="1" si="253"/>
        <v>7.9769999999999968</v>
      </c>
      <c r="T524" s="304">
        <f t="shared" ca="1" si="233"/>
        <v>78.254369999999966</v>
      </c>
      <c r="U524" s="311">
        <f t="shared" ca="1" si="234"/>
        <v>0</v>
      </c>
      <c r="V524" s="306">
        <f t="shared" ca="1" si="235"/>
        <v>1.2252975251880058</v>
      </c>
      <c r="W524" s="304">
        <f t="shared" ca="1" si="236"/>
        <v>59.14826012551076</v>
      </c>
      <c r="Y524" s="314" t="str">
        <f t="shared" ca="1" si="254"/>
        <v/>
      </c>
      <c r="Z524" s="315" t="str">
        <f t="shared" ca="1" si="255"/>
        <v/>
      </c>
      <c r="AA524" s="316" t="str">
        <f t="shared" ca="1" si="256"/>
        <v/>
      </c>
      <c r="AC524" s="310" t="e">
        <f t="shared" ca="1" si="257"/>
        <v>#N/A</v>
      </c>
      <c r="AD524" s="323" t="e">
        <f t="shared" ca="1" si="258"/>
        <v>#N/A</v>
      </c>
      <c r="AE524" s="324" t="e">
        <f t="shared" ca="1" si="237"/>
        <v>#N/A</v>
      </c>
      <c r="AG524" s="306">
        <f t="shared" ca="1" si="259"/>
        <v>2.3475844557881489</v>
      </c>
      <c r="AH524" s="304">
        <f t="shared" ca="1" si="260"/>
        <v>-7.4148124914193945</v>
      </c>
    </row>
    <row r="525" spans="1:34" x14ac:dyDescent="0.2">
      <c r="A525" s="347">
        <f t="shared" ca="1" si="238"/>
        <v>1E-4</v>
      </c>
      <c r="B525" s="304">
        <f t="shared" ca="1" si="239"/>
        <v>33.600500000000224</v>
      </c>
      <c r="D525" s="306">
        <f t="shared" ca="1" si="240"/>
        <v>-0.7295738808168325</v>
      </c>
      <c r="E525" s="307">
        <f t="shared" ca="1" si="241"/>
        <v>-2.4311297890665919</v>
      </c>
      <c r="F525" s="304">
        <f t="shared" ca="1" si="242"/>
        <v>2.5382415367448989</v>
      </c>
      <c r="G525" s="306">
        <f t="shared" ca="1" si="243"/>
        <v>11.894539263625644</v>
      </c>
      <c r="H525" s="307">
        <f t="shared" ca="1" si="244"/>
        <v>-120.30169865573571</v>
      </c>
      <c r="I525" s="304">
        <f t="shared" ca="1" si="245"/>
        <v>120.88829043273535</v>
      </c>
      <c r="J525" s="306">
        <f t="shared" ca="1" si="246"/>
        <v>755.70453742140728</v>
      </c>
      <c r="K525" s="307">
        <f t="shared" ca="1" si="247"/>
        <v>-2.4405122905728271</v>
      </c>
      <c r="L525" s="304">
        <f t="shared" ca="1" si="232"/>
        <v>755.7084781710098</v>
      </c>
      <c r="M525" s="306">
        <f t="shared" ca="1" si="248"/>
        <v>-1.4722440563835768</v>
      </c>
      <c r="N525" s="304">
        <f t="shared" ca="1" si="249"/>
        <v>-84.353370843999357</v>
      </c>
      <c r="P525" s="310">
        <f t="shared" ca="1" si="250"/>
        <v>23</v>
      </c>
      <c r="Q525" s="304">
        <f t="shared" ca="1" si="251"/>
        <v>0</v>
      </c>
      <c r="R525" s="306">
        <f t="shared" ca="1" si="252"/>
        <v>0</v>
      </c>
      <c r="S525" s="307">
        <f t="shared" ca="1" si="253"/>
        <v>7.9769999999999968</v>
      </c>
      <c r="T525" s="304">
        <f t="shared" ca="1" si="233"/>
        <v>78.254369999999966</v>
      </c>
      <c r="U525" s="311">
        <f t="shared" ca="1" si="234"/>
        <v>0</v>
      </c>
      <c r="V525" s="306">
        <f t="shared" ca="1" si="235"/>
        <v>1.2252989992411616</v>
      </c>
      <c r="W525" s="304">
        <f t="shared" ca="1" si="236"/>
        <v>59.148561004581715</v>
      </c>
      <c r="Y525" s="314" t="str">
        <f t="shared" ca="1" si="254"/>
        <v/>
      </c>
      <c r="Z525" s="315" t="str">
        <f t="shared" ca="1" si="255"/>
        <v/>
      </c>
      <c r="AA525" s="316" t="str">
        <f t="shared" ca="1" si="256"/>
        <v/>
      </c>
      <c r="AC525" s="310" t="e">
        <f t="shared" ca="1" si="257"/>
        <v>#N/A</v>
      </c>
      <c r="AD525" s="323" t="e">
        <f t="shared" ca="1" si="258"/>
        <v>#N/A</v>
      </c>
      <c r="AE525" s="324" t="e">
        <f t="shared" ca="1" si="237"/>
        <v>#N/A</v>
      </c>
      <c r="AG525" s="306">
        <f t="shared" ca="1" si="259"/>
        <v>2.3475475078795789</v>
      </c>
      <c r="AH525" s="304">
        <f t="shared" ca="1" si="260"/>
        <v>-7.4148502100427205</v>
      </c>
    </row>
    <row r="526" spans="1:34" x14ac:dyDescent="0.2">
      <c r="A526" s="347">
        <f t="shared" ca="1" si="238"/>
        <v>1E-4</v>
      </c>
      <c r="B526" s="304">
        <f t="shared" ca="1" si="239"/>
        <v>33.600600000000227</v>
      </c>
      <c r="D526" s="306">
        <f t="shared" ca="1" si="240"/>
        <v>-0.72957170031630869</v>
      </c>
      <c r="E526" s="307">
        <f t="shared" ca="1" si="241"/>
        <v>-2.4310916712336885</v>
      </c>
      <c r="F526" s="304">
        <f t="shared" ca="1" si="242"/>
        <v>2.5382044007219431</v>
      </c>
      <c r="G526" s="306">
        <f t="shared" ca="1" si="243"/>
        <v>11.894466306455612</v>
      </c>
      <c r="H526" s="307">
        <f t="shared" ca="1" si="244"/>
        <v>-120.30194176490284</v>
      </c>
      <c r="I526" s="304">
        <f t="shared" ca="1" si="245"/>
        <v>120.88852518382993</v>
      </c>
      <c r="J526" s="306">
        <f t="shared" ca="1" si="246"/>
        <v>755.70453742140728</v>
      </c>
      <c r="K526" s="307">
        <f t="shared" ca="1" si="247"/>
        <v>-2.4525424725938589</v>
      </c>
      <c r="L526" s="304">
        <f t="shared" ca="1" si="232"/>
        <v>755.70851711746832</v>
      </c>
      <c r="M526" s="306">
        <f t="shared" ca="1" si="248"/>
        <v>-1.4722448548328253</v>
      </c>
      <c r="N526" s="304">
        <f t="shared" ca="1" si="249"/>
        <v>-84.353416591771449</v>
      </c>
      <c r="P526" s="310">
        <f t="shared" ca="1" si="250"/>
        <v>23</v>
      </c>
      <c r="Q526" s="304">
        <f t="shared" ca="1" si="251"/>
        <v>0</v>
      </c>
      <c r="R526" s="306">
        <f t="shared" ca="1" si="252"/>
        <v>0</v>
      </c>
      <c r="S526" s="307">
        <f t="shared" ca="1" si="253"/>
        <v>7.9769999999999968</v>
      </c>
      <c r="T526" s="304">
        <f t="shared" ca="1" si="233"/>
        <v>78.254369999999966</v>
      </c>
      <c r="U526" s="311">
        <f t="shared" ca="1" si="234"/>
        <v>0</v>
      </c>
      <c r="V526" s="306">
        <f t="shared" ca="1" si="235"/>
        <v>1.2253004732990693</v>
      </c>
      <c r="W526" s="304">
        <f t="shared" ca="1" si="236"/>
        <v>59.148861881265354</v>
      </c>
      <c r="Y526" s="314" t="str">
        <f t="shared" ca="1" si="254"/>
        <v/>
      </c>
      <c r="Z526" s="315" t="str">
        <f t="shared" ca="1" si="255"/>
        <v/>
      </c>
      <c r="AA526" s="316" t="str">
        <f t="shared" ca="1" si="256"/>
        <v/>
      </c>
      <c r="AC526" s="310" t="e">
        <f t="shared" ca="1" si="257"/>
        <v>#N/A</v>
      </c>
      <c r="AD526" s="323" t="e">
        <f t="shared" ca="1" si="258"/>
        <v>#N/A</v>
      </c>
      <c r="AE526" s="324" t="e">
        <f t="shared" ca="1" si="237"/>
        <v>#N/A</v>
      </c>
      <c r="AG526" s="306">
        <f t="shared" ca="1" si="259"/>
        <v>2.3475105602563389</v>
      </c>
      <c r="AH526" s="304">
        <f t="shared" ca="1" si="260"/>
        <v>-7.4148879283667721</v>
      </c>
    </row>
    <row r="527" spans="1:34" x14ac:dyDescent="0.2">
      <c r="A527" s="347">
        <f t="shared" ca="1" si="238"/>
        <v>1E-4</v>
      </c>
      <c r="B527" s="304">
        <f t="shared" ca="1" si="239"/>
        <v>33.600700000000231</v>
      </c>
      <c r="D527" s="306">
        <f t="shared" ca="1" si="240"/>
        <v>-0.72956951978495144</v>
      </c>
      <c r="E527" s="307">
        <f t="shared" ca="1" si="241"/>
        <v>-2.4310535537032214</v>
      </c>
      <c r="F527" s="304">
        <f t="shared" ca="1" si="242"/>
        <v>2.5381672650107805</v>
      </c>
      <c r="G527" s="306">
        <f t="shared" ca="1" si="243"/>
        <v>11.894393349503634</v>
      </c>
      <c r="H527" s="307">
        <f t="shared" ca="1" si="244"/>
        <v>-120.3021848702582</v>
      </c>
      <c r="I527" s="304">
        <f t="shared" ca="1" si="245"/>
        <v>120.88875993122974</v>
      </c>
      <c r="J527" s="306">
        <f t="shared" ca="1" si="246"/>
        <v>755.70453742140728</v>
      </c>
      <c r="K527" s="307">
        <f t="shared" ca="1" si="247"/>
        <v>-2.464572678925617</v>
      </c>
      <c r="L527" s="304">
        <f t="shared" ca="1" si="232"/>
        <v>755.70855625551371</v>
      </c>
      <c r="M527" s="306">
        <f t="shared" ca="1" si="248"/>
        <v>-1.4722456532740751</v>
      </c>
      <c r="N527" s="304">
        <f t="shared" ca="1" si="249"/>
        <v>-84.353462339085254</v>
      </c>
      <c r="P527" s="310">
        <f t="shared" ca="1" si="250"/>
        <v>23</v>
      </c>
      <c r="Q527" s="304">
        <f t="shared" ca="1" si="251"/>
        <v>0</v>
      </c>
      <c r="R527" s="306">
        <f t="shared" ca="1" si="252"/>
        <v>0</v>
      </c>
      <c r="S527" s="307">
        <f t="shared" ca="1" si="253"/>
        <v>7.9769999999999968</v>
      </c>
      <c r="T527" s="304">
        <f t="shared" ca="1" si="233"/>
        <v>78.254369999999966</v>
      </c>
      <c r="U527" s="311">
        <f t="shared" ca="1" si="234"/>
        <v>0</v>
      </c>
      <c r="V527" s="306">
        <f t="shared" ca="1" si="235"/>
        <v>1.2253019473617293</v>
      </c>
      <c r="W527" s="304">
        <f t="shared" ca="1" si="236"/>
        <v>59.149162755561584</v>
      </c>
      <c r="Y527" s="314" t="str">
        <f t="shared" ca="1" si="254"/>
        <v/>
      </c>
      <c r="Z527" s="315" t="str">
        <f t="shared" ca="1" si="255"/>
        <v/>
      </c>
      <c r="AA527" s="316" t="str">
        <f t="shared" ca="1" si="256"/>
        <v/>
      </c>
      <c r="AC527" s="310" t="e">
        <f t="shared" ca="1" si="257"/>
        <v>#N/A</v>
      </c>
      <c r="AD527" s="323" t="e">
        <f t="shared" ca="1" si="258"/>
        <v>#N/A</v>
      </c>
      <c r="AE527" s="324" t="e">
        <f t="shared" ca="1" si="237"/>
        <v>#N/A</v>
      </c>
      <c r="AG527" s="306">
        <f t="shared" ca="1" si="259"/>
        <v>2.3474736129184306</v>
      </c>
      <c r="AH527" s="304">
        <f t="shared" ca="1" si="260"/>
        <v>-7.4149256463915476</v>
      </c>
    </row>
    <row r="528" spans="1:34" x14ac:dyDescent="0.2">
      <c r="A528" s="347">
        <f t="shared" ca="1" si="238"/>
        <v>1E-4</v>
      </c>
      <c r="B528" s="304">
        <f t="shared" ca="1" si="239"/>
        <v>33.600800000000234</v>
      </c>
      <c r="D528" s="306">
        <f t="shared" ca="1" si="240"/>
        <v>-0.72956733922276473</v>
      </c>
      <c r="E528" s="307">
        <f t="shared" ca="1" si="241"/>
        <v>-2.4310154364752012</v>
      </c>
      <c r="F528" s="304">
        <f t="shared" ca="1" si="242"/>
        <v>2.5381301296114227</v>
      </c>
      <c r="G528" s="306">
        <f t="shared" ca="1" si="243"/>
        <v>11.894320392769712</v>
      </c>
      <c r="H528" s="307">
        <f t="shared" ca="1" si="244"/>
        <v>-120.30242797180185</v>
      </c>
      <c r="I528" s="304">
        <f t="shared" ca="1" si="245"/>
        <v>120.88899467493486</v>
      </c>
      <c r="J528" s="306">
        <f t="shared" ca="1" si="246"/>
        <v>755.70453742140728</v>
      </c>
      <c r="K528" s="307">
        <f t="shared" ca="1" si="247"/>
        <v>-2.47660290956772</v>
      </c>
      <c r="L528" s="304">
        <f t="shared" ca="1" si="232"/>
        <v>755.70859558514678</v>
      </c>
      <c r="M528" s="306">
        <f t="shared" ca="1" si="248"/>
        <v>-1.4722464517073268</v>
      </c>
      <c r="N528" s="304">
        <f t="shared" ca="1" si="249"/>
        <v>-84.353508085940803</v>
      </c>
      <c r="P528" s="310">
        <f t="shared" ca="1" si="250"/>
        <v>23</v>
      </c>
      <c r="Q528" s="304">
        <f t="shared" ca="1" si="251"/>
        <v>0</v>
      </c>
      <c r="R528" s="306">
        <f t="shared" ca="1" si="252"/>
        <v>0</v>
      </c>
      <c r="S528" s="307">
        <f t="shared" ca="1" si="253"/>
        <v>7.9769999999999968</v>
      </c>
      <c r="T528" s="304">
        <f t="shared" ca="1" si="233"/>
        <v>78.254369999999966</v>
      </c>
      <c r="U528" s="311">
        <f t="shared" ca="1" si="234"/>
        <v>0</v>
      </c>
      <c r="V528" s="306">
        <f t="shared" ca="1" si="235"/>
        <v>1.2253034214291416</v>
      </c>
      <c r="W528" s="304">
        <f t="shared" ca="1" si="236"/>
        <v>59.149463627470482</v>
      </c>
      <c r="Y528" s="314" t="str">
        <f t="shared" ca="1" si="254"/>
        <v/>
      </c>
      <c r="Z528" s="315" t="str">
        <f t="shared" ca="1" si="255"/>
        <v/>
      </c>
      <c r="AA528" s="316" t="str">
        <f t="shared" ca="1" si="256"/>
        <v/>
      </c>
      <c r="AC528" s="310" t="e">
        <f t="shared" ca="1" si="257"/>
        <v>#N/A</v>
      </c>
      <c r="AD528" s="323" t="e">
        <f t="shared" ca="1" si="258"/>
        <v>#N/A</v>
      </c>
      <c r="AE528" s="324" t="e">
        <f t="shared" ca="1" si="237"/>
        <v>#N/A</v>
      </c>
      <c r="AG528" s="306">
        <f t="shared" ca="1" si="259"/>
        <v>2.3474366658658639</v>
      </c>
      <c r="AH528" s="304">
        <f t="shared" ca="1" si="260"/>
        <v>-7.4149633641170372</v>
      </c>
    </row>
    <row r="529" spans="1:34" x14ac:dyDescent="0.2">
      <c r="A529" s="347">
        <f t="shared" ca="1" si="238"/>
        <v>1E-4</v>
      </c>
      <c r="B529" s="304">
        <f t="shared" ca="1" si="239"/>
        <v>33.600900000000237</v>
      </c>
      <c r="D529" s="306">
        <f t="shared" ca="1" si="240"/>
        <v>-0.72956515862974625</v>
      </c>
      <c r="E529" s="307">
        <f t="shared" ca="1" si="241"/>
        <v>-2.4309773195496209</v>
      </c>
      <c r="F529" s="304">
        <f t="shared" ca="1" si="242"/>
        <v>2.5380929945238626</v>
      </c>
      <c r="G529" s="306">
        <f t="shared" ca="1" si="243"/>
        <v>11.894247436253849</v>
      </c>
      <c r="H529" s="307">
        <f t="shared" ca="1" si="244"/>
        <v>-120.3026710695338</v>
      </c>
      <c r="I529" s="304">
        <f t="shared" ca="1" si="245"/>
        <v>120.88922941494529</v>
      </c>
      <c r="J529" s="306">
        <f t="shared" ca="1" si="246"/>
        <v>755.70453742140728</v>
      </c>
      <c r="K529" s="307">
        <f t="shared" ca="1" si="247"/>
        <v>-2.4886331645197868</v>
      </c>
      <c r="L529" s="304">
        <f t="shared" ca="1" si="232"/>
        <v>755.70863510636877</v>
      </c>
      <c r="M529" s="306">
        <f t="shared" ca="1" si="248"/>
        <v>-1.4722472501325805</v>
      </c>
      <c r="N529" s="304">
        <f t="shared" ca="1" si="249"/>
        <v>-84.353553832338093</v>
      </c>
      <c r="P529" s="310">
        <f t="shared" ca="1" si="250"/>
        <v>23</v>
      </c>
      <c r="Q529" s="304">
        <f t="shared" ca="1" si="251"/>
        <v>0</v>
      </c>
      <c r="R529" s="306">
        <f t="shared" ca="1" si="252"/>
        <v>0</v>
      </c>
      <c r="S529" s="307">
        <f t="shared" ca="1" si="253"/>
        <v>7.9769999999999968</v>
      </c>
      <c r="T529" s="304">
        <f t="shared" ca="1" si="233"/>
        <v>78.254369999999966</v>
      </c>
      <c r="U529" s="311">
        <f t="shared" ca="1" si="234"/>
        <v>0</v>
      </c>
      <c r="V529" s="306">
        <f t="shared" ca="1" si="235"/>
        <v>1.2253048955013068</v>
      </c>
      <c r="W529" s="304">
        <f t="shared" ca="1" si="236"/>
        <v>59.149764496992049</v>
      </c>
      <c r="Y529" s="314" t="str">
        <f t="shared" ca="1" si="254"/>
        <v/>
      </c>
      <c r="Z529" s="315" t="str">
        <f t="shared" ca="1" si="255"/>
        <v/>
      </c>
      <c r="AA529" s="316" t="str">
        <f t="shared" ca="1" si="256"/>
        <v/>
      </c>
      <c r="AC529" s="310" t="e">
        <f t="shared" ca="1" si="257"/>
        <v>#N/A</v>
      </c>
      <c r="AD529" s="323" t="e">
        <f t="shared" ca="1" si="258"/>
        <v>#N/A</v>
      </c>
      <c r="AE529" s="324" t="e">
        <f t="shared" ca="1" si="237"/>
        <v>#N/A</v>
      </c>
      <c r="AG529" s="306">
        <f t="shared" ca="1" si="259"/>
        <v>2.3473997190986315</v>
      </c>
      <c r="AH529" s="304">
        <f t="shared" ca="1" si="260"/>
        <v>-7.4150010815432497</v>
      </c>
    </row>
    <row r="530" spans="1:34" x14ac:dyDescent="0.2">
      <c r="A530" s="347">
        <f t="shared" ca="1" si="238"/>
        <v>1E-4</v>
      </c>
      <c r="B530" s="304">
        <f t="shared" ca="1" si="239"/>
        <v>33.601000000000241</v>
      </c>
      <c r="D530" s="306">
        <f t="shared" ca="1" si="240"/>
        <v>-0.72956297800589753</v>
      </c>
      <c r="E530" s="307">
        <f t="shared" ca="1" si="241"/>
        <v>-2.430939202926476</v>
      </c>
      <c r="F530" s="304">
        <f t="shared" ca="1" si="242"/>
        <v>2.5380558597480953</v>
      </c>
      <c r="G530" s="306">
        <f t="shared" ca="1" si="243"/>
        <v>11.894174479956048</v>
      </c>
      <c r="H530" s="307">
        <f t="shared" ca="1" si="244"/>
        <v>-120.30291416345409</v>
      </c>
      <c r="I530" s="304">
        <f t="shared" ca="1" si="245"/>
        <v>120.88946415126109</v>
      </c>
      <c r="J530" s="306">
        <f t="shared" ca="1" si="246"/>
        <v>755.70453742140728</v>
      </c>
      <c r="K530" s="307">
        <f t="shared" ca="1" si="247"/>
        <v>-2.5006634437814363</v>
      </c>
      <c r="L530" s="304">
        <f t="shared" ca="1" si="232"/>
        <v>755.70867481918071</v>
      </c>
      <c r="M530" s="306">
        <f t="shared" ca="1" si="248"/>
        <v>-1.4722480485498362</v>
      </c>
      <c r="N530" s="304">
        <f t="shared" ca="1" si="249"/>
        <v>-84.353599578277127</v>
      </c>
      <c r="P530" s="310">
        <f t="shared" ca="1" si="250"/>
        <v>23</v>
      </c>
      <c r="Q530" s="304">
        <f t="shared" ca="1" si="251"/>
        <v>0</v>
      </c>
      <c r="R530" s="306">
        <f t="shared" ca="1" si="252"/>
        <v>0</v>
      </c>
      <c r="S530" s="307">
        <f t="shared" ca="1" si="253"/>
        <v>7.9769999999999968</v>
      </c>
      <c r="T530" s="304">
        <f t="shared" ca="1" si="233"/>
        <v>78.254369999999966</v>
      </c>
      <c r="U530" s="311">
        <f t="shared" ca="1" si="234"/>
        <v>0</v>
      </c>
      <c r="V530" s="306">
        <f t="shared" ca="1" si="235"/>
        <v>1.2253063695782236</v>
      </c>
      <c r="W530" s="304">
        <f t="shared" ca="1" si="236"/>
        <v>59.150065364126235</v>
      </c>
      <c r="Y530" s="314" t="str">
        <f t="shared" ca="1" si="254"/>
        <v/>
      </c>
      <c r="Z530" s="315" t="str">
        <f t="shared" ca="1" si="255"/>
        <v/>
      </c>
      <c r="AA530" s="316" t="str">
        <f t="shared" ca="1" si="256"/>
        <v/>
      </c>
      <c r="AC530" s="310" t="e">
        <f t="shared" ca="1" si="257"/>
        <v>#N/A</v>
      </c>
      <c r="AD530" s="323" t="e">
        <f t="shared" ca="1" si="258"/>
        <v>#N/A</v>
      </c>
      <c r="AE530" s="324" t="e">
        <f t="shared" ca="1" si="237"/>
        <v>#N/A</v>
      </c>
      <c r="AG530" s="306">
        <f t="shared" ca="1" si="259"/>
        <v>2.347362772616731</v>
      </c>
      <c r="AH530" s="304">
        <f t="shared" ca="1" si="260"/>
        <v>-7.415038798670186</v>
      </c>
    </row>
    <row r="531" spans="1:34" x14ac:dyDescent="0.2">
      <c r="A531" s="347">
        <f t="shared" ca="1" si="238"/>
        <v>1E-4</v>
      </c>
      <c r="B531" s="304">
        <f t="shared" ca="1" si="239"/>
        <v>33.601100000000244</v>
      </c>
      <c r="D531" s="306">
        <f t="shared" ca="1" si="240"/>
        <v>-0.72956079735121948</v>
      </c>
      <c r="E531" s="307">
        <f t="shared" ca="1" si="241"/>
        <v>-2.4309010866057772</v>
      </c>
      <c r="F531" s="304">
        <f t="shared" ca="1" si="242"/>
        <v>2.5380187252841329</v>
      </c>
      <c r="G531" s="306">
        <f t="shared" ca="1" si="243"/>
        <v>11.894101523876312</v>
      </c>
      <c r="H531" s="307">
        <f t="shared" ca="1" si="244"/>
        <v>-120.30315725356274</v>
      </c>
      <c r="I531" s="304">
        <f t="shared" ca="1" si="245"/>
        <v>120.88969888388226</v>
      </c>
      <c r="J531" s="306">
        <f t="shared" ca="1" si="246"/>
        <v>755.70453742140728</v>
      </c>
      <c r="K531" s="307">
        <f t="shared" ca="1" si="247"/>
        <v>-2.5126937473522872</v>
      </c>
      <c r="L531" s="304">
        <f t="shared" ca="1" si="232"/>
        <v>755.70871472358385</v>
      </c>
      <c r="M531" s="306">
        <f t="shared" ca="1" si="248"/>
        <v>-1.4722488469590937</v>
      </c>
      <c r="N531" s="304">
        <f t="shared" ca="1" si="249"/>
        <v>-84.353645323757917</v>
      </c>
      <c r="P531" s="310">
        <f t="shared" ca="1" si="250"/>
        <v>23</v>
      </c>
      <c r="Q531" s="304">
        <f t="shared" ca="1" si="251"/>
        <v>0</v>
      </c>
      <c r="R531" s="306">
        <f t="shared" ca="1" si="252"/>
        <v>0</v>
      </c>
      <c r="S531" s="307">
        <f t="shared" ca="1" si="253"/>
        <v>7.9769999999999968</v>
      </c>
      <c r="T531" s="304">
        <f t="shared" ca="1" si="233"/>
        <v>78.254369999999966</v>
      </c>
      <c r="U531" s="311">
        <f t="shared" ca="1" si="234"/>
        <v>0</v>
      </c>
      <c r="V531" s="306">
        <f t="shared" ca="1" si="235"/>
        <v>1.2253078436598925</v>
      </c>
      <c r="W531" s="304">
        <f t="shared" ca="1" si="236"/>
        <v>59.150366228873047</v>
      </c>
      <c r="Y531" s="314" t="str">
        <f t="shared" ca="1" si="254"/>
        <v/>
      </c>
      <c r="Z531" s="315" t="str">
        <f t="shared" ca="1" si="255"/>
        <v/>
      </c>
      <c r="AA531" s="316" t="str">
        <f t="shared" ca="1" si="256"/>
        <v/>
      </c>
      <c r="AC531" s="310" t="e">
        <f t="shared" ca="1" si="257"/>
        <v>#N/A</v>
      </c>
      <c r="AD531" s="323" t="e">
        <f t="shared" ca="1" si="258"/>
        <v>#N/A</v>
      </c>
      <c r="AE531" s="324" t="e">
        <f t="shared" ca="1" si="237"/>
        <v>#N/A</v>
      </c>
      <c r="AG531" s="306">
        <f t="shared" ca="1" si="259"/>
        <v>2.347325826420172</v>
      </c>
      <c r="AH531" s="304">
        <f t="shared" ca="1" si="260"/>
        <v>-7.4150765154978382</v>
      </c>
    </row>
    <row r="532" spans="1:34" x14ac:dyDescent="0.2">
      <c r="A532" s="347">
        <f t="shared" ca="1" si="238"/>
        <v>1E-4</v>
      </c>
      <c r="B532" s="304">
        <f t="shared" ca="1" si="239"/>
        <v>33.601200000000247</v>
      </c>
      <c r="D532" s="306">
        <f t="shared" ca="1" si="240"/>
        <v>-0.72955861666571409</v>
      </c>
      <c r="E532" s="307">
        <f t="shared" ca="1" si="241"/>
        <v>-2.43086297058752</v>
      </c>
      <c r="F532" s="304">
        <f t="shared" ca="1" si="242"/>
        <v>2.5379815911319712</v>
      </c>
      <c r="G532" s="306">
        <f t="shared" ca="1" si="243"/>
        <v>11.894028568014646</v>
      </c>
      <c r="H532" s="307">
        <f t="shared" ca="1" si="244"/>
        <v>-120.30340033985981</v>
      </c>
      <c r="I532" s="304">
        <f t="shared" ca="1" si="245"/>
        <v>120.88993361280885</v>
      </c>
      <c r="J532" s="306">
        <f t="shared" ca="1" si="246"/>
        <v>755.70453742140728</v>
      </c>
      <c r="K532" s="307">
        <f t="shared" ca="1" si="247"/>
        <v>-2.5247240752319584</v>
      </c>
      <c r="L532" s="304">
        <f t="shared" ca="1" si="232"/>
        <v>755.70875481957944</v>
      </c>
      <c r="M532" s="306">
        <f t="shared" ca="1" si="248"/>
        <v>-1.4722496453603537</v>
      </c>
      <c r="N532" s="304">
        <f t="shared" ca="1" si="249"/>
        <v>-84.353691068780478</v>
      </c>
      <c r="P532" s="310">
        <f t="shared" ca="1" si="250"/>
        <v>23</v>
      </c>
      <c r="Q532" s="304">
        <f t="shared" ca="1" si="251"/>
        <v>0</v>
      </c>
      <c r="R532" s="306">
        <f t="shared" ca="1" si="252"/>
        <v>0</v>
      </c>
      <c r="S532" s="307">
        <f t="shared" ca="1" si="253"/>
        <v>7.9769999999999968</v>
      </c>
      <c r="T532" s="304">
        <f t="shared" ca="1" si="233"/>
        <v>78.254369999999966</v>
      </c>
      <c r="U532" s="311">
        <f t="shared" ca="1" si="234"/>
        <v>0</v>
      </c>
      <c r="V532" s="306">
        <f t="shared" ca="1" si="235"/>
        <v>1.2253093177463141</v>
      </c>
      <c r="W532" s="304">
        <f t="shared" ca="1" si="236"/>
        <v>59.150667091232521</v>
      </c>
      <c r="Y532" s="314" t="str">
        <f t="shared" ca="1" si="254"/>
        <v/>
      </c>
      <c r="Z532" s="315" t="str">
        <f t="shared" ca="1" si="255"/>
        <v/>
      </c>
      <c r="AA532" s="316" t="str">
        <f t="shared" ca="1" si="256"/>
        <v/>
      </c>
      <c r="AC532" s="310" t="e">
        <f t="shared" ca="1" si="257"/>
        <v>#N/A</v>
      </c>
      <c r="AD532" s="323" t="e">
        <f t="shared" ca="1" si="258"/>
        <v>#N/A</v>
      </c>
      <c r="AE532" s="324" t="e">
        <f t="shared" ca="1" si="237"/>
        <v>#N/A</v>
      </c>
      <c r="AG532" s="306">
        <f t="shared" ca="1" si="259"/>
        <v>2.3472888805089518</v>
      </c>
      <c r="AH532" s="304">
        <f t="shared" ca="1" si="260"/>
        <v>-7.4151142320262089</v>
      </c>
    </row>
    <row r="533" spans="1:34" x14ac:dyDescent="0.2">
      <c r="A533" s="347">
        <f t="shared" ca="1" si="238"/>
        <v>1E-4</v>
      </c>
      <c r="B533" s="304">
        <f t="shared" ca="1" si="239"/>
        <v>33.601300000000251</v>
      </c>
      <c r="D533" s="306">
        <f t="shared" ca="1" si="240"/>
        <v>-0.72955643594937991</v>
      </c>
      <c r="E533" s="307">
        <f t="shared" ca="1" si="241"/>
        <v>-2.4308248548717026</v>
      </c>
      <c r="F533" s="304">
        <f t="shared" ca="1" si="242"/>
        <v>2.5379444572916086</v>
      </c>
      <c r="G533" s="306">
        <f t="shared" ca="1" si="243"/>
        <v>11.89395561237105</v>
      </c>
      <c r="H533" s="307">
        <f t="shared" ca="1" si="244"/>
        <v>-120.30364342234529</v>
      </c>
      <c r="I533" s="304">
        <f t="shared" ca="1" si="245"/>
        <v>120.89016833804085</v>
      </c>
      <c r="J533" s="306">
        <f t="shared" ca="1" si="246"/>
        <v>755.70453742140728</v>
      </c>
      <c r="K533" s="307">
        <f t="shared" ca="1" si="247"/>
        <v>-2.5367544274200688</v>
      </c>
      <c r="L533" s="304">
        <f t="shared" ca="1" si="232"/>
        <v>755.70879510716838</v>
      </c>
      <c r="M533" s="306">
        <f t="shared" ca="1" si="248"/>
        <v>-1.4722504437536159</v>
      </c>
      <c r="N533" s="304">
        <f t="shared" ca="1" si="249"/>
        <v>-84.353736813344781</v>
      </c>
      <c r="P533" s="310">
        <f t="shared" ca="1" si="250"/>
        <v>23</v>
      </c>
      <c r="Q533" s="304">
        <f t="shared" ca="1" si="251"/>
        <v>0</v>
      </c>
      <c r="R533" s="306">
        <f t="shared" ca="1" si="252"/>
        <v>0</v>
      </c>
      <c r="S533" s="307">
        <f t="shared" ca="1" si="253"/>
        <v>7.9769999999999968</v>
      </c>
      <c r="T533" s="304">
        <f t="shared" ca="1" si="233"/>
        <v>78.254369999999966</v>
      </c>
      <c r="U533" s="311">
        <f t="shared" ca="1" si="234"/>
        <v>0</v>
      </c>
      <c r="V533" s="306">
        <f t="shared" ca="1" si="235"/>
        <v>1.2253107918374875</v>
      </c>
      <c r="W533" s="304">
        <f t="shared" ca="1" si="236"/>
        <v>59.150967951204592</v>
      </c>
      <c r="Y533" s="314" t="str">
        <f t="shared" ca="1" si="254"/>
        <v/>
      </c>
      <c r="Z533" s="315" t="str">
        <f t="shared" ca="1" si="255"/>
        <v/>
      </c>
      <c r="AA533" s="316" t="str">
        <f t="shared" ca="1" si="256"/>
        <v/>
      </c>
      <c r="AC533" s="310" t="e">
        <f t="shared" ca="1" si="257"/>
        <v>#N/A</v>
      </c>
      <c r="AD533" s="323" t="e">
        <f t="shared" ca="1" si="258"/>
        <v>#N/A</v>
      </c>
      <c r="AE533" s="324" t="e">
        <f t="shared" ca="1" si="237"/>
        <v>#N/A</v>
      </c>
      <c r="AG533" s="306">
        <f t="shared" ca="1" si="259"/>
        <v>2.3472519348830669</v>
      </c>
      <c r="AH533" s="304">
        <f t="shared" ca="1" si="260"/>
        <v>-7.4151519482553017</v>
      </c>
    </row>
    <row r="534" spans="1:34" x14ac:dyDescent="0.2">
      <c r="A534" s="347">
        <f t="shared" ca="1" si="238"/>
        <v>1E-4</v>
      </c>
      <c r="B534" s="304">
        <f t="shared" ca="1" si="239"/>
        <v>33.601400000000254</v>
      </c>
      <c r="D534" s="306">
        <f t="shared" ca="1" si="240"/>
        <v>-0.72955425520221961</v>
      </c>
      <c r="E534" s="307">
        <f t="shared" ca="1" si="241"/>
        <v>-2.4307867394583313</v>
      </c>
      <c r="F534" s="304">
        <f t="shared" ca="1" si="242"/>
        <v>2.5379073237630507</v>
      </c>
      <c r="G534" s="306">
        <f t="shared" ca="1" si="243"/>
        <v>11.89388265694553</v>
      </c>
      <c r="H534" s="307">
        <f t="shared" ca="1" si="244"/>
        <v>-120.30388650101924</v>
      </c>
      <c r="I534" s="304">
        <f t="shared" ca="1" si="245"/>
        <v>120.89040305957833</v>
      </c>
      <c r="J534" s="306">
        <f t="shared" ca="1" si="246"/>
        <v>755.70453742140728</v>
      </c>
      <c r="K534" s="307">
        <f t="shared" ca="1" si="247"/>
        <v>-2.5487848039162371</v>
      </c>
      <c r="L534" s="304">
        <f t="shared" ca="1" si="232"/>
        <v>755.70883558635182</v>
      </c>
      <c r="M534" s="306">
        <f t="shared" ca="1" si="248"/>
        <v>-1.4722512421388807</v>
      </c>
      <c r="N534" s="304">
        <f t="shared" ca="1" si="249"/>
        <v>-84.353782557450884</v>
      </c>
      <c r="P534" s="310">
        <f t="shared" ca="1" si="250"/>
        <v>23</v>
      </c>
      <c r="Q534" s="304">
        <f t="shared" ca="1" si="251"/>
        <v>0</v>
      </c>
      <c r="R534" s="306">
        <f t="shared" ca="1" si="252"/>
        <v>0</v>
      </c>
      <c r="S534" s="307">
        <f t="shared" ca="1" si="253"/>
        <v>7.9769999999999968</v>
      </c>
      <c r="T534" s="304">
        <f t="shared" ca="1" si="233"/>
        <v>78.254369999999966</v>
      </c>
      <c r="U534" s="311">
        <f t="shared" ca="1" si="234"/>
        <v>0</v>
      </c>
      <c r="V534" s="306">
        <f t="shared" ca="1" si="235"/>
        <v>1.225312265933413</v>
      </c>
      <c r="W534" s="304">
        <f t="shared" ca="1" si="236"/>
        <v>59.151268808789311</v>
      </c>
      <c r="Y534" s="314" t="str">
        <f t="shared" ca="1" si="254"/>
        <v/>
      </c>
      <c r="Z534" s="315" t="str">
        <f t="shared" ca="1" si="255"/>
        <v/>
      </c>
      <c r="AA534" s="316" t="str">
        <f t="shared" ca="1" si="256"/>
        <v/>
      </c>
      <c r="AC534" s="310" t="e">
        <f t="shared" ca="1" si="257"/>
        <v>#N/A</v>
      </c>
      <c r="AD534" s="323" t="e">
        <f t="shared" ca="1" si="258"/>
        <v>#N/A</v>
      </c>
      <c r="AE534" s="324" t="e">
        <f t="shared" ca="1" si="237"/>
        <v>#N/A</v>
      </c>
      <c r="AG534" s="306">
        <f t="shared" ca="1" si="259"/>
        <v>2.3472149895425263</v>
      </c>
      <c r="AH534" s="304">
        <f t="shared" ca="1" si="260"/>
        <v>-7.4151896641851094</v>
      </c>
    </row>
    <row r="535" spans="1:34" x14ac:dyDescent="0.2">
      <c r="A535" s="347">
        <f t="shared" ca="1" si="238"/>
        <v>1E-4</v>
      </c>
      <c r="B535" s="304">
        <f t="shared" ca="1" si="239"/>
        <v>33.601500000000257</v>
      </c>
      <c r="D535" s="306">
        <f t="shared" ca="1" si="240"/>
        <v>-0.72955207442423187</v>
      </c>
      <c r="E535" s="307">
        <f t="shared" ca="1" si="241"/>
        <v>-2.4307486243474017</v>
      </c>
      <c r="F535" s="304">
        <f t="shared" ca="1" si="242"/>
        <v>2.5378701905462946</v>
      </c>
      <c r="G535" s="306">
        <f t="shared" ca="1" si="243"/>
        <v>11.893809701738087</v>
      </c>
      <c r="H535" s="307">
        <f t="shared" ca="1" si="244"/>
        <v>-120.30412957588167</v>
      </c>
      <c r="I535" s="304">
        <f t="shared" ca="1" si="245"/>
        <v>120.89063777742132</v>
      </c>
      <c r="J535" s="306">
        <f t="shared" ca="1" si="246"/>
        <v>755.70453742140728</v>
      </c>
      <c r="K535" s="307">
        <f t="shared" ca="1" si="247"/>
        <v>-2.5608152047200821</v>
      </c>
      <c r="L535" s="304">
        <f t="shared" ca="1" si="232"/>
        <v>755.70887625713101</v>
      </c>
      <c r="M535" s="306">
        <f t="shared" ca="1" si="248"/>
        <v>-1.4722520405161481</v>
      </c>
      <c r="N535" s="304">
        <f t="shared" ca="1" si="249"/>
        <v>-84.353828301098758</v>
      </c>
      <c r="P535" s="310">
        <f t="shared" ca="1" si="250"/>
        <v>23</v>
      </c>
      <c r="Q535" s="304">
        <f t="shared" ca="1" si="251"/>
        <v>0</v>
      </c>
      <c r="R535" s="306">
        <f t="shared" ca="1" si="252"/>
        <v>0</v>
      </c>
      <c r="S535" s="307">
        <f t="shared" ca="1" si="253"/>
        <v>7.9769999999999968</v>
      </c>
      <c r="T535" s="304">
        <f t="shared" ca="1" si="233"/>
        <v>78.254369999999966</v>
      </c>
      <c r="U535" s="311">
        <f t="shared" ca="1" si="234"/>
        <v>0</v>
      </c>
      <c r="V535" s="306">
        <f t="shared" ca="1" si="235"/>
        <v>1.2253137400340908</v>
      </c>
      <c r="W535" s="304">
        <f t="shared" ca="1" si="236"/>
        <v>59.151569663986663</v>
      </c>
      <c r="Y535" s="314" t="str">
        <f t="shared" ca="1" si="254"/>
        <v/>
      </c>
      <c r="Z535" s="315" t="str">
        <f t="shared" ca="1" si="255"/>
        <v/>
      </c>
      <c r="AA535" s="316" t="str">
        <f t="shared" ca="1" si="256"/>
        <v/>
      </c>
      <c r="AC535" s="310" t="e">
        <f t="shared" ca="1" si="257"/>
        <v>#N/A</v>
      </c>
      <c r="AD535" s="323" t="e">
        <f t="shared" ca="1" si="258"/>
        <v>#N/A</v>
      </c>
      <c r="AE535" s="324" t="e">
        <f t="shared" ca="1" si="237"/>
        <v>#N/A</v>
      </c>
      <c r="AG535" s="306">
        <f t="shared" ca="1" si="259"/>
        <v>2.3471780444873236</v>
      </c>
      <c r="AH535" s="304">
        <f t="shared" ca="1" si="260"/>
        <v>-7.4152273798156365</v>
      </c>
    </row>
    <row r="536" spans="1:34" x14ac:dyDescent="0.2">
      <c r="A536" s="347">
        <f t="shared" ca="1" si="238"/>
        <v>1E-4</v>
      </c>
      <c r="B536" s="304">
        <f t="shared" ca="1" si="239"/>
        <v>33.601600000000261</v>
      </c>
      <c r="D536" s="306">
        <f t="shared" ca="1" si="240"/>
        <v>-0.72954989361541844</v>
      </c>
      <c r="E536" s="307">
        <f t="shared" ca="1" si="241"/>
        <v>-2.4307105095389137</v>
      </c>
      <c r="F536" s="304">
        <f t="shared" ca="1" si="242"/>
        <v>2.5378330576413402</v>
      </c>
      <c r="G536" s="306">
        <f t="shared" ca="1" si="243"/>
        <v>11.893736746748726</v>
      </c>
      <c r="H536" s="307">
        <f t="shared" ca="1" si="244"/>
        <v>-120.30437264693263</v>
      </c>
      <c r="I536" s="304">
        <f t="shared" ca="1" si="245"/>
        <v>120.89087249156982</v>
      </c>
      <c r="J536" s="306">
        <f t="shared" ca="1" si="246"/>
        <v>755.70453742140728</v>
      </c>
      <c r="K536" s="307">
        <f t="shared" ca="1" si="247"/>
        <v>-2.5728456298312228</v>
      </c>
      <c r="L536" s="304">
        <f t="shared" ca="1" si="232"/>
        <v>755.70891711950719</v>
      </c>
      <c r="M536" s="306">
        <f t="shared" ca="1" si="248"/>
        <v>-1.4722528388854181</v>
      </c>
      <c r="N536" s="304">
        <f t="shared" ca="1" si="249"/>
        <v>-84.353874044288432</v>
      </c>
      <c r="P536" s="310">
        <f t="shared" ca="1" si="250"/>
        <v>23</v>
      </c>
      <c r="Q536" s="304">
        <f t="shared" ca="1" si="251"/>
        <v>0</v>
      </c>
      <c r="R536" s="306">
        <f t="shared" ca="1" si="252"/>
        <v>0</v>
      </c>
      <c r="S536" s="307">
        <f t="shared" ca="1" si="253"/>
        <v>7.9769999999999968</v>
      </c>
      <c r="T536" s="304">
        <f t="shared" ca="1" si="233"/>
        <v>78.254369999999966</v>
      </c>
      <c r="U536" s="311">
        <f t="shared" ca="1" si="234"/>
        <v>0</v>
      </c>
      <c r="V536" s="306">
        <f t="shared" ca="1" si="235"/>
        <v>1.2253152141395205</v>
      </c>
      <c r="W536" s="304">
        <f t="shared" ca="1" si="236"/>
        <v>59.15187051679662</v>
      </c>
      <c r="Y536" s="314" t="str">
        <f t="shared" ca="1" si="254"/>
        <v/>
      </c>
      <c r="Z536" s="315" t="str">
        <f t="shared" ca="1" si="255"/>
        <v/>
      </c>
      <c r="AA536" s="316" t="str">
        <f t="shared" ca="1" si="256"/>
        <v/>
      </c>
      <c r="AC536" s="310" t="e">
        <f t="shared" ca="1" si="257"/>
        <v>#N/A</v>
      </c>
      <c r="AD536" s="323" t="e">
        <f t="shared" ca="1" si="258"/>
        <v>#N/A</v>
      </c>
      <c r="AE536" s="324" t="e">
        <f t="shared" ca="1" si="237"/>
        <v>#N/A</v>
      </c>
      <c r="AG536" s="306">
        <f t="shared" ca="1" si="259"/>
        <v>2.3471410997174607</v>
      </c>
      <c r="AH536" s="304">
        <f t="shared" ca="1" si="260"/>
        <v>-7.415265095146883</v>
      </c>
    </row>
    <row r="537" spans="1:34" x14ac:dyDescent="0.2">
      <c r="A537" s="347">
        <f t="shared" ca="1" si="238"/>
        <v>1E-4</v>
      </c>
      <c r="B537" s="304">
        <f t="shared" ca="1" si="239"/>
        <v>33.601700000000264</v>
      </c>
      <c r="D537" s="306">
        <f t="shared" ca="1" si="240"/>
        <v>-0.72954771277578045</v>
      </c>
      <c r="E537" s="307">
        <f t="shared" ca="1" si="241"/>
        <v>-2.4306723950328726</v>
      </c>
      <c r="F537" s="304">
        <f t="shared" ca="1" si="242"/>
        <v>2.5377959250481932</v>
      </c>
      <c r="G537" s="306">
        <f t="shared" ca="1" si="243"/>
        <v>11.893663791977447</v>
      </c>
      <c r="H537" s="307">
        <f t="shared" ca="1" si="244"/>
        <v>-120.30461571417214</v>
      </c>
      <c r="I537" s="304">
        <f t="shared" ca="1" si="245"/>
        <v>120.89110720202387</v>
      </c>
      <c r="J537" s="306">
        <f t="shared" ca="1" si="246"/>
        <v>755.70453742140728</v>
      </c>
      <c r="K537" s="307">
        <f t="shared" ca="1" si="247"/>
        <v>-2.5848760792492782</v>
      </c>
      <c r="L537" s="304">
        <f t="shared" ca="1" si="232"/>
        <v>755.70895817348105</v>
      </c>
      <c r="M537" s="306">
        <f t="shared" ca="1" si="248"/>
        <v>-1.4722536372466912</v>
      </c>
      <c r="N537" s="304">
        <f t="shared" ca="1" si="249"/>
        <v>-84.353919787019905</v>
      </c>
      <c r="P537" s="310">
        <f t="shared" ca="1" si="250"/>
        <v>23</v>
      </c>
      <c r="Q537" s="304">
        <f t="shared" ca="1" si="251"/>
        <v>0</v>
      </c>
      <c r="R537" s="306">
        <f t="shared" ca="1" si="252"/>
        <v>0</v>
      </c>
      <c r="S537" s="307">
        <f t="shared" ca="1" si="253"/>
        <v>7.9769999999999968</v>
      </c>
      <c r="T537" s="304">
        <f t="shared" ca="1" si="233"/>
        <v>78.254369999999966</v>
      </c>
      <c r="U537" s="311">
        <f t="shared" ca="1" si="234"/>
        <v>0</v>
      </c>
      <c r="V537" s="306">
        <f t="shared" ca="1" si="235"/>
        <v>1.2253166882497024</v>
      </c>
      <c r="W537" s="304">
        <f t="shared" ca="1" si="236"/>
        <v>59.152171367219204</v>
      </c>
      <c r="Y537" s="314" t="str">
        <f t="shared" ca="1" si="254"/>
        <v/>
      </c>
      <c r="Z537" s="315" t="str">
        <f t="shared" ca="1" si="255"/>
        <v/>
      </c>
      <c r="AA537" s="316" t="str">
        <f t="shared" ca="1" si="256"/>
        <v/>
      </c>
      <c r="AC537" s="310" t="e">
        <f t="shared" ca="1" si="257"/>
        <v>#N/A</v>
      </c>
      <c r="AD537" s="323" t="e">
        <f t="shared" ca="1" si="258"/>
        <v>#N/A</v>
      </c>
      <c r="AE537" s="324" t="e">
        <f t="shared" ca="1" si="237"/>
        <v>#N/A</v>
      </c>
      <c r="AG537" s="306">
        <f t="shared" ca="1" si="259"/>
        <v>2.3471041552329384</v>
      </c>
      <c r="AH537" s="304">
        <f t="shared" ca="1" si="260"/>
        <v>-7.4153028101788445</v>
      </c>
    </row>
    <row r="538" spans="1:34" x14ac:dyDescent="0.2">
      <c r="A538" s="347">
        <f t="shared" ca="1" si="238"/>
        <v>1E-4</v>
      </c>
      <c r="B538" s="304">
        <f t="shared" ca="1" si="239"/>
        <v>33.601800000000267</v>
      </c>
      <c r="D538" s="306">
        <f t="shared" ca="1" si="240"/>
        <v>-0.72954553190531646</v>
      </c>
      <c r="E538" s="307">
        <f t="shared" ca="1" si="241"/>
        <v>-2.4306342808292722</v>
      </c>
      <c r="F538" s="304">
        <f t="shared" ca="1" si="242"/>
        <v>2.537758792766847</v>
      </c>
      <c r="G538" s="306">
        <f t="shared" ca="1" si="243"/>
        <v>11.893590837424258</v>
      </c>
      <c r="H538" s="307">
        <f t="shared" ca="1" si="244"/>
        <v>-120.30485877760023</v>
      </c>
      <c r="I538" s="304">
        <f t="shared" ca="1" si="245"/>
        <v>120.8913419087835</v>
      </c>
      <c r="J538" s="306">
        <f t="shared" ca="1" si="246"/>
        <v>755.70453742140728</v>
      </c>
      <c r="K538" s="307">
        <f t="shared" ca="1" si="247"/>
        <v>-2.5969065529738669</v>
      </c>
      <c r="L538" s="304">
        <f t="shared" ca="1" si="232"/>
        <v>755.70899941905418</v>
      </c>
      <c r="M538" s="306">
        <f t="shared" ca="1" si="248"/>
        <v>-1.4722544355999669</v>
      </c>
      <c r="N538" s="304">
        <f t="shared" ca="1" si="249"/>
        <v>-84.353965529293163</v>
      </c>
      <c r="P538" s="310">
        <f t="shared" ca="1" si="250"/>
        <v>23</v>
      </c>
      <c r="Q538" s="304">
        <f t="shared" ca="1" si="251"/>
        <v>0</v>
      </c>
      <c r="R538" s="306">
        <f t="shared" ca="1" si="252"/>
        <v>0</v>
      </c>
      <c r="S538" s="307">
        <f t="shared" ca="1" si="253"/>
        <v>7.9769999999999968</v>
      </c>
      <c r="T538" s="304">
        <f t="shared" ca="1" si="233"/>
        <v>78.254369999999966</v>
      </c>
      <c r="U538" s="311">
        <f t="shared" ca="1" si="234"/>
        <v>0</v>
      </c>
      <c r="V538" s="306">
        <f t="shared" ca="1" si="235"/>
        <v>1.2253181623646361</v>
      </c>
      <c r="W538" s="304">
        <f t="shared" ca="1" si="236"/>
        <v>59.152472215254384</v>
      </c>
      <c r="Y538" s="314" t="str">
        <f t="shared" ca="1" si="254"/>
        <v/>
      </c>
      <c r="Z538" s="315" t="str">
        <f t="shared" ca="1" si="255"/>
        <v/>
      </c>
      <c r="AA538" s="316" t="str">
        <f t="shared" ca="1" si="256"/>
        <v/>
      </c>
      <c r="AC538" s="310" t="e">
        <f t="shared" ca="1" si="257"/>
        <v>#N/A</v>
      </c>
      <c r="AD538" s="323" t="e">
        <f t="shared" ca="1" si="258"/>
        <v>#N/A</v>
      </c>
      <c r="AE538" s="324" t="e">
        <f t="shared" ca="1" si="237"/>
        <v>#N/A</v>
      </c>
      <c r="AG538" s="306">
        <f t="shared" ca="1" si="259"/>
        <v>2.3470672110337603</v>
      </c>
      <c r="AH538" s="304">
        <f t="shared" ca="1" si="260"/>
        <v>-7.4153405249115245</v>
      </c>
    </row>
    <row r="539" spans="1:34" x14ac:dyDescent="0.2">
      <c r="A539" s="347">
        <f t="shared" ca="1" si="238"/>
        <v>1E-4</v>
      </c>
      <c r="B539" s="304">
        <f t="shared" ca="1" si="239"/>
        <v>33.601900000000271</v>
      </c>
      <c r="D539" s="306">
        <f t="shared" ca="1" si="240"/>
        <v>-0.72954335100403112</v>
      </c>
      <c r="E539" s="307">
        <f t="shared" ca="1" si="241"/>
        <v>-2.4305961669281215</v>
      </c>
      <c r="F539" s="304">
        <f t="shared" ca="1" si="242"/>
        <v>2.5377216607973119</v>
      </c>
      <c r="G539" s="306">
        <f t="shared" ca="1" si="243"/>
        <v>11.893517883089157</v>
      </c>
      <c r="H539" s="307">
        <f t="shared" ca="1" si="244"/>
        <v>-120.30510183721692</v>
      </c>
      <c r="I539" s="304">
        <f t="shared" ca="1" si="245"/>
        <v>120.89157661184875</v>
      </c>
      <c r="J539" s="306">
        <f t="shared" ca="1" si="246"/>
        <v>755.70453742140728</v>
      </c>
      <c r="K539" s="307">
        <f t="shared" ca="1" si="247"/>
        <v>-2.6089370510046077</v>
      </c>
      <c r="L539" s="304">
        <f t="shared" ca="1" si="232"/>
        <v>755.70904085622749</v>
      </c>
      <c r="M539" s="306">
        <f t="shared" ca="1" si="248"/>
        <v>-1.4722552339452459</v>
      </c>
      <c r="N539" s="304">
        <f t="shared" ca="1" si="249"/>
        <v>-84.354011271108249</v>
      </c>
      <c r="P539" s="310">
        <f t="shared" ca="1" si="250"/>
        <v>23</v>
      </c>
      <c r="Q539" s="304">
        <f t="shared" ca="1" si="251"/>
        <v>0</v>
      </c>
      <c r="R539" s="306">
        <f t="shared" ca="1" si="252"/>
        <v>0</v>
      </c>
      <c r="S539" s="307">
        <f t="shared" ca="1" si="253"/>
        <v>7.9769999999999968</v>
      </c>
      <c r="T539" s="304">
        <f t="shared" ca="1" si="233"/>
        <v>78.254369999999966</v>
      </c>
      <c r="U539" s="311">
        <f t="shared" ca="1" si="234"/>
        <v>0</v>
      </c>
      <c r="V539" s="306">
        <f t="shared" ca="1" si="235"/>
        <v>1.2253196364843217</v>
      </c>
      <c r="W539" s="304">
        <f t="shared" ca="1" si="236"/>
        <v>59.152773060902199</v>
      </c>
      <c r="Y539" s="314" t="str">
        <f t="shared" ca="1" si="254"/>
        <v/>
      </c>
      <c r="Z539" s="315" t="str">
        <f t="shared" ca="1" si="255"/>
        <v/>
      </c>
      <c r="AA539" s="316" t="str">
        <f t="shared" ca="1" si="256"/>
        <v/>
      </c>
      <c r="AC539" s="310" t="e">
        <f t="shared" ca="1" si="257"/>
        <v>#N/A</v>
      </c>
      <c r="AD539" s="323" t="e">
        <f t="shared" ca="1" si="258"/>
        <v>#N/A</v>
      </c>
      <c r="AE539" s="324" t="e">
        <f t="shared" ca="1" si="237"/>
        <v>#N/A</v>
      </c>
      <c r="AG539" s="306">
        <f t="shared" ca="1" si="259"/>
        <v>2.3470302671199281</v>
      </c>
      <c r="AH539" s="304">
        <f t="shared" ca="1" si="260"/>
        <v>-7.4153782393449177</v>
      </c>
    </row>
    <row r="540" spans="1:34" x14ac:dyDescent="0.2">
      <c r="A540" s="347">
        <f t="shared" ca="1" si="238"/>
        <v>1E-4</v>
      </c>
      <c r="B540" s="304">
        <f t="shared" ca="1" si="239"/>
        <v>33.602000000000274</v>
      </c>
      <c r="D540" s="306">
        <f t="shared" ca="1" si="240"/>
        <v>-0.72954117007192165</v>
      </c>
      <c r="E540" s="307">
        <f t="shared" ca="1" si="241"/>
        <v>-2.4305580533294115</v>
      </c>
      <c r="F540" s="304">
        <f t="shared" ca="1" si="242"/>
        <v>2.5376845291395793</v>
      </c>
      <c r="G540" s="306">
        <f t="shared" ca="1" si="243"/>
        <v>11.89344492897215</v>
      </c>
      <c r="H540" s="307">
        <f t="shared" ca="1" si="244"/>
        <v>-120.30534489302225</v>
      </c>
      <c r="I540" s="304">
        <f t="shared" ca="1" si="245"/>
        <v>120.89181131121963</v>
      </c>
      <c r="J540" s="306">
        <f t="shared" ca="1" si="246"/>
        <v>755.70453742140728</v>
      </c>
      <c r="K540" s="307">
        <f t="shared" ca="1" si="247"/>
        <v>-2.6209675733411197</v>
      </c>
      <c r="L540" s="304">
        <f t="shared" ca="1" si="232"/>
        <v>755.70908248500211</v>
      </c>
      <c r="M540" s="306">
        <f t="shared" ca="1" si="248"/>
        <v>-1.472256032282528</v>
      </c>
      <c r="N540" s="304">
        <f t="shared" ca="1" si="249"/>
        <v>-84.354057012465134</v>
      </c>
      <c r="P540" s="310">
        <f t="shared" ca="1" si="250"/>
        <v>23</v>
      </c>
      <c r="Q540" s="304">
        <f t="shared" ca="1" si="251"/>
        <v>0</v>
      </c>
      <c r="R540" s="306">
        <f t="shared" ca="1" si="252"/>
        <v>0</v>
      </c>
      <c r="S540" s="307">
        <f t="shared" ca="1" si="253"/>
        <v>7.9769999999999968</v>
      </c>
      <c r="T540" s="304">
        <f t="shared" ca="1" si="233"/>
        <v>78.254369999999966</v>
      </c>
      <c r="U540" s="311">
        <f t="shared" ca="1" si="234"/>
        <v>0</v>
      </c>
      <c r="V540" s="306">
        <f t="shared" ca="1" si="235"/>
        <v>1.2253211106087589</v>
      </c>
      <c r="W540" s="304">
        <f t="shared" ca="1" si="236"/>
        <v>59.153073904162575</v>
      </c>
      <c r="Y540" s="314" t="str">
        <f t="shared" ca="1" si="254"/>
        <v/>
      </c>
      <c r="Z540" s="315" t="str">
        <f t="shared" ca="1" si="255"/>
        <v/>
      </c>
      <c r="AA540" s="316" t="str">
        <f t="shared" ca="1" si="256"/>
        <v/>
      </c>
      <c r="AC540" s="310" t="e">
        <f t="shared" ca="1" si="257"/>
        <v>#N/A</v>
      </c>
      <c r="AD540" s="323" t="e">
        <f t="shared" ca="1" si="258"/>
        <v>#N/A</v>
      </c>
      <c r="AE540" s="324" t="e">
        <f t="shared" ca="1" si="237"/>
        <v>#N/A</v>
      </c>
      <c r="AG540" s="306">
        <f t="shared" ca="1" si="259"/>
        <v>2.346993323491434</v>
      </c>
      <c r="AH540" s="304">
        <f t="shared" ca="1" si="260"/>
        <v>-7.4154159534790303</v>
      </c>
    </row>
    <row r="541" spans="1:34" x14ac:dyDescent="0.2">
      <c r="A541" s="347">
        <f t="shared" ca="1" si="238"/>
        <v>1E-4</v>
      </c>
      <c r="B541" s="304">
        <f t="shared" ca="1" si="239"/>
        <v>33.602100000000277</v>
      </c>
      <c r="D541" s="306">
        <f t="shared" ca="1" si="240"/>
        <v>-0.72953898910899018</v>
      </c>
      <c r="E541" s="307">
        <f t="shared" ca="1" si="241"/>
        <v>-2.4305199400331539</v>
      </c>
      <c r="F541" s="304">
        <f t="shared" ca="1" si="242"/>
        <v>2.53764739779366</v>
      </c>
      <c r="G541" s="306">
        <f t="shared" ca="1" si="243"/>
        <v>11.893371975073238</v>
      </c>
      <c r="H541" s="307">
        <f t="shared" ca="1" si="244"/>
        <v>-120.30558794501626</v>
      </c>
      <c r="I541" s="304">
        <f t="shared" ca="1" si="245"/>
        <v>120.89204600689617</v>
      </c>
      <c r="J541" s="306">
        <f t="shared" ca="1" si="246"/>
        <v>755.70453742140728</v>
      </c>
      <c r="K541" s="307">
        <f t="shared" ca="1" si="247"/>
        <v>-2.6329981199830215</v>
      </c>
      <c r="L541" s="304">
        <f t="shared" ca="1" si="232"/>
        <v>755.70912430537919</v>
      </c>
      <c r="M541" s="306">
        <f t="shared" ca="1" si="248"/>
        <v>-1.4722568306118136</v>
      </c>
      <c r="N541" s="304">
        <f t="shared" ca="1" si="249"/>
        <v>-84.354102753363861</v>
      </c>
      <c r="P541" s="310">
        <f t="shared" ca="1" si="250"/>
        <v>23</v>
      </c>
      <c r="Q541" s="304">
        <f t="shared" ca="1" si="251"/>
        <v>0</v>
      </c>
      <c r="R541" s="306">
        <f t="shared" ca="1" si="252"/>
        <v>0</v>
      </c>
      <c r="S541" s="307">
        <f t="shared" ca="1" si="253"/>
        <v>7.9769999999999968</v>
      </c>
      <c r="T541" s="304">
        <f t="shared" ca="1" si="233"/>
        <v>78.254369999999966</v>
      </c>
      <c r="U541" s="311">
        <f t="shared" ca="1" si="234"/>
        <v>0</v>
      </c>
      <c r="V541" s="306">
        <f t="shared" ca="1" si="235"/>
        <v>1.2253225847379483</v>
      </c>
      <c r="W541" s="304">
        <f t="shared" ca="1" si="236"/>
        <v>59.153374745035592</v>
      </c>
      <c r="Y541" s="314" t="str">
        <f t="shared" ca="1" si="254"/>
        <v/>
      </c>
      <c r="Z541" s="315" t="str">
        <f t="shared" ca="1" si="255"/>
        <v/>
      </c>
      <c r="AA541" s="316" t="str">
        <f t="shared" ca="1" si="256"/>
        <v/>
      </c>
      <c r="AC541" s="310" t="e">
        <f t="shared" ca="1" si="257"/>
        <v>#N/A</v>
      </c>
      <c r="AD541" s="323" t="e">
        <f t="shared" ca="1" si="258"/>
        <v>#N/A</v>
      </c>
      <c r="AE541" s="324" t="e">
        <f t="shared" ca="1" si="237"/>
        <v>#N/A</v>
      </c>
      <c r="AG541" s="306">
        <f t="shared" ca="1" si="259"/>
        <v>2.3469563801482929</v>
      </c>
      <c r="AH541" s="304">
        <f t="shared" ca="1" si="260"/>
        <v>-7.4154536673138525</v>
      </c>
    </row>
    <row r="542" spans="1:34" x14ac:dyDescent="0.2">
      <c r="A542" s="347">
        <f t="shared" ca="1" si="238"/>
        <v>1E-4</v>
      </c>
      <c r="B542" s="304">
        <f t="shared" ca="1" si="239"/>
        <v>33.602200000000281</v>
      </c>
      <c r="D542" s="306">
        <f t="shared" ca="1" si="240"/>
        <v>-0.72953680811523625</v>
      </c>
      <c r="E542" s="307">
        <f t="shared" ca="1" si="241"/>
        <v>-2.4304818270393369</v>
      </c>
      <c r="F542" s="304">
        <f t="shared" ca="1" si="242"/>
        <v>2.5376102667595433</v>
      </c>
      <c r="G542" s="306">
        <f t="shared" ca="1" si="243"/>
        <v>11.893299021392426</v>
      </c>
      <c r="H542" s="307">
        <f t="shared" ca="1" si="244"/>
        <v>-120.30583099319897</v>
      </c>
      <c r="I542" s="304">
        <f t="shared" ca="1" si="245"/>
        <v>120.89228069887839</v>
      </c>
      <c r="J542" s="306">
        <f t="shared" ca="1" si="246"/>
        <v>755.70453742140728</v>
      </c>
      <c r="K542" s="307">
        <f t="shared" ca="1" si="247"/>
        <v>-2.6450286909299323</v>
      </c>
      <c r="L542" s="304">
        <f t="shared" ca="1" si="232"/>
        <v>755.70916631735986</v>
      </c>
      <c r="M542" s="306">
        <f t="shared" ca="1" si="248"/>
        <v>-1.4722576289331024</v>
      </c>
      <c r="N542" s="304">
        <f t="shared" ca="1" si="249"/>
        <v>-84.354148493804402</v>
      </c>
      <c r="P542" s="310">
        <f t="shared" ca="1" si="250"/>
        <v>23</v>
      </c>
      <c r="Q542" s="304">
        <f t="shared" ca="1" si="251"/>
        <v>0</v>
      </c>
      <c r="R542" s="306">
        <f t="shared" ca="1" si="252"/>
        <v>0</v>
      </c>
      <c r="S542" s="307">
        <f t="shared" ca="1" si="253"/>
        <v>7.9769999999999968</v>
      </c>
      <c r="T542" s="304">
        <f t="shared" ca="1" si="233"/>
        <v>78.254369999999966</v>
      </c>
      <c r="U542" s="311">
        <f t="shared" ca="1" si="234"/>
        <v>0</v>
      </c>
      <c r="V542" s="306">
        <f t="shared" ca="1" si="235"/>
        <v>1.2253240588718899</v>
      </c>
      <c r="W542" s="304">
        <f t="shared" ca="1" si="236"/>
        <v>59.153675583521199</v>
      </c>
      <c r="Y542" s="314" t="str">
        <f t="shared" ca="1" si="254"/>
        <v/>
      </c>
      <c r="Z542" s="315" t="str">
        <f t="shared" ca="1" si="255"/>
        <v/>
      </c>
      <c r="AA542" s="316" t="str">
        <f t="shared" ca="1" si="256"/>
        <v/>
      </c>
      <c r="AC542" s="310" t="e">
        <f t="shared" ca="1" si="257"/>
        <v>#N/A</v>
      </c>
      <c r="AD542" s="323" t="e">
        <f t="shared" ca="1" si="258"/>
        <v>#N/A</v>
      </c>
      <c r="AE542" s="324" t="e">
        <f t="shared" ca="1" si="237"/>
        <v>#N/A</v>
      </c>
      <c r="AG542" s="306">
        <f t="shared" ca="1" si="259"/>
        <v>2.3469194370904916</v>
      </c>
      <c r="AH542" s="304">
        <f t="shared" ca="1" si="260"/>
        <v>-7.4154913808493941</v>
      </c>
    </row>
    <row r="543" spans="1:34" x14ac:dyDescent="0.2">
      <c r="A543" s="347">
        <f t="shared" ca="1" si="238"/>
        <v>1E-4</v>
      </c>
      <c r="B543" s="304">
        <f t="shared" ca="1" si="239"/>
        <v>33.602300000000284</v>
      </c>
      <c r="D543" s="306">
        <f t="shared" ca="1" si="240"/>
        <v>-0.7295346270906623</v>
      </c>
      <c r="E543" s="307">
        <f t="shared" ca="1" si="241"/>
        <v>-2.4304437143479687</v>
      </c>
      <c r="F543" s="304">
        <f t="shared" ca="1" si="242"/>
        <v>2.537573136037238</v>
      </c>
      <c r="G543" s="306">
        <f t="shared" ca="1" si="243"/>
        <v>11.893226067929717</v>
      </c>
      <c r="H543" s="307">
        <f t="shared" ca="1" si="244"/>
        <v>-120.3060740375704</v>
      </c>
      <c r="I543" s="304">
        <f t="shared" ca="1" si="245"/>
        <v>120.89251538716636</v>
      </c>
      <c r="J543" s="306">
        <f t="shared" ca="1" si="246"/>
        <v>755.70453742140728</v>
      </c>
      <c r="K543" s="307">
        <f t="shared" ca="1" si="247"/>
        <v>-2.6570592861814708</v>
      </c>
      <c r="L543" s="304">
        <f t="shared" ca="1" si="232"/>
        <v>755.70920852094525</v>
      </c>
      <c r="M543" s="306">
        <f t="shared" ca="1" si="248"/>
        <v>-1.4722584272463948</v>
      </c>
      <c r="N543" s="304">
        <f t="shared" ca="1" si="249"/>
        <v>-84.354194233786785</v>
      </c>
      <c r="P543" s="310">
        <f t="shared" ca="1" si="250"/>
        <v>23</v>
      </c>
      <c r="Q543" s="304">
        <f t="shared" ca="1" si="251"/>
        <v>0</v>
      </c>
      <c r="R543" s="306">
        <f t="shared" ca="1" si="252"/>
        <v>0</v>
      </c>
      <c r="S543" s="307">
        <f t="shared" ca="1" si="253"/>
        <v>7.9769999999999968</v>
      </c>
      <c r="T543" s="304">
        <f t="shared" ca="1" si="233"/>
        <v>78.254369999999966</v>
      </c>
      <c r="U543" s="311">
        <f t="shared" ca="1" si="234"/>
        <v>0</v>
      </c>
      <c r="V543" s="306">
        <f t="shared" ca="1" si="235"/>
        <v>1.2253255330105828</v>
      </c>
      <c r="W543" s="304">
        <f t="shared" ca="1" si="236"/>
        <v>59.15397641961939</v>
      </c>
      <c r="Y543" s="314" t="str">
        <f t="shared" ca="1" si="254"/>
        <v/>
      </c>
      <c r="Z543" s="315" t="str">
        <f t="shared" ca="1" si="255"/>
        <v/>
      </c>
      <c r="AA543" s="316" t="str">
        <f t="shared" ca="1" si="256"/>
        <v/>
      </c>
      <c r="AC543" s="310" t="e">
        <f t="shared" ca="1" si="257"/>
        <v>#N/A</v>
      </c>
      <c r="AD543" s="323" t="e">
        <f t="shared" ca="1" si="258"/>
        <v>#N/A</v>
      </c>
      <c r="AE543" s="324" t="e">
        <f t="shared" ca="1" si="237"/>
        <v>#N/A</v>
      </c>
      <c r="AG543" s="306">
        <f t="shared" ca="1" si="259"/>
        <v>2.3468824943180362</v>
      </c>
      <c r="AH543" s="304">
        <f t="shared" ca="1" si="260"/>
        <v>-7.4155290940856489</v>
      </c>
    </row>
    <row r="544" spans="1:34" x14ac:dyDescent="0.2">
      <c r="A544" s="347">
        <f t="shared" ca="1" si="238"/>
        <v>1E-4</v>
      </c>
      <c r="B544" s="304">
        <f t="shared" ca="1" si="239"/>
        <v>33.602400000000287</v>
      </c>
      <c r="D544" s="306">
        <f t="shared" ca="1" si="240"/>
        <v>-0.72953244603526846</v>
      </c>
      <c r="E544" s="307">
        <f t="shared" ca="1" si="241"/>
        <v>-2.4304056019590483</v>
      </c>
      <c r="F544" s="304">
        <f t="shared" ca="1" si="242"/>
        <v>2.5375360056267429</v>
      </c>
      <c r="G544" s="306">
        <f t="shared" ca="1" si="243"/>
        <v>11.893153114685115</v>
      </c>
      <c r="H544" s="307">
        <f t="shared" ca="1" si="244"/>
        <v>-120.30631707813059</v>
      </c>
      <c r="I544" s="304">
        <f t="shared" ca="1" si="245"/>
        <v>120.89275007176005</v>
      </c>
      <c r="J544" s="306">
        <f t="shared" ca="1" si="246"/>
        <v>755.70453742140728</v>
      </c>
      <c r="K544" s="307">
        <f t="shared" ca="1" si="247"/>
        <v>-2.6690899057372559</v>
      </c>
      <c r="L544" s="304">
        <f t="shared" ca="1" si="232"/>
        <v>755.70925091613651</v>
      </c>
      <c r="M544" s="306">
        <f t="shared" ca="1" si="248"/>
        <v>-1.4722592255516909</v>
      </c>
      <c r="N544" s="304">
        <f t="shared" ca="1" si="249"/>
        <v>-84.35423997331101</v>
      </c>
      <c r="P544" s="310">
        <f t="shared" ca="1" si="250"/>
        <v>23</v>
      </c>
      <c r="Q544" s="304">
        <f t="shared" ca="1" si="251"/>
        <v>0</v>
      </c>
      <c r="R544" s="306">
        <f t="shared" ca="1" si="252"/>
        <v>0</v>
      </c>
      <c r="S544" s="307">
        <f t="shared" ca="1" si="253"/>
        <v>7.9769999999999968</v>
      </c>
      <c r="T544" s="304">
        <f t="shared" ca="1" si="233"/>
        <v>78.254369999999966</v>
      </c>
      <c r="U544" s="311">
        <f t="shared" ca="1" si="234"/>
        <v>0</v>
      </c>
      <c r="V544" s="306">
        <f t="shared" ca="1" si="235"/>
        <v>1.2253270071540274</v>
      </c>
      <c r="W544" s="304">
        <f t="shared" ca="1" si="236"/>
        <v>59.154277253330157</v>
      </c>
      <c r="Y544" s="314" t="str">
        <f t="shared" ca="1" si="254"/>
        <v/>
      </c>
      <c r="Z544" s="315" t="str">
        <f t="shared" ca="1" si="255"/>
        <v/>
      </c>
      <c r="AA544" s="316" t="str">
        <f t="shared" ca="1" si="256"/>
        <v/>
      </c>
      <c r="AC544" s="310" t="e">
        <f t="shared" ca="1" si="257"/>
        <v>#N/A</v>
      </c>
      <c r="AD544" s="323" t="e">
        <f t="shared" ca="1" si="258"/>
        <v>#N/A</v>
      </c>
      <c r="AE544" s="324" t="e">
        <f t="shared" ca="1" si="237"/>
        <v>#N/A</v>
      </c>
      <c r="AG544" s="306">
        <f t="shared" ca="1" si="259"/>
        <v>2.3468455518309321</v>
      </c>
      <c r="AH544" s="304">
        <f t="shared" ca="1" si="260"/>
        <v>-7.4155668070226168</v>
      </c>
    </row>
    <row r="545" spans="1:34" x14ac:dyDescent="0.2">
      <c r="A545" s="347">
        <f t="shared" ca="1" si="238"/>
        <v>1E-4</v>
      </c>
      <c r="B545" s="304">
        <f t="shared" ca="1" si="239"/>
        <v>33.60250000000029</v>
      </c>
      <c r="D545" s="306">
        <f t="shared" ca="1" si="240"/>
        <v>-0.7295302649490546</v>
      </c>
      <c r="E545" s="307">
        <f t="shared" ca="1" si="241"/>
        <v>-2.4303674898725776</v>
      </c>
      <c r="F545" s="304">
        <f t="shared" ca="1" si="242"/>
        <v>2.5374988755280605</v>
      </c>
      <c r="G545" s="306">
        <f t="shared" ca="1" si="243"/>
        <v>11.89308016165862</v>
      </c>
      <c r="H545" s="307">
        <f t="shared" ca="1" si="244"/>
        <v>-120.30656011487957</v>
      </c>
      <c r="I545" s="304">
        <f t="shared" ca="1" si="245"/>
        <v>120.89298475265953</v>
      </c>
      <c r="J545" s="306">
        <f t="shared" ca="1" si="246"/>
        <v>755.70453742140728</v>
      </c>
      <c r="K545" s="307">
        <f t="shared" ca="1" si="247"/>
        <v>-2.6811205495969066</v>
      </c>
      <c r="L545" s="304">
        <f t="shared" ca="1" si="232"/>
        <v>755.70929350293466</v>
      </c>
      <c r="M545" s="306">
        <f t="shared" ca="1" si="248"/>
        <v>-1.4722600238489909</v>
      </c>
      <c r="N545" s="304">
        <f t="shared" ca="1" si="249"/>
        <v>-84.354285712377106</v>
      </c>
      <c r="P545" s="310">
        <f t="shared" ca="1" si="250"/>
        <v>23</v>
      </c>
      <c r="Q545" s="304">
        <f t="shared" ca="1" si="251"/>
        <v>0</v>
      </c>
      <c r="R545" s="306">
        <f t="shared" ca="1" si="252"/>
        <v>0</v>
      </c>
      <c r="S545" s="307">
        <f t="shared" ca="1" si="253"/>
        <v>7.9769999999999968</v>
      </c>
      <c r="T545" s="304">
        <f t="shared" ca="1" si="233"/>
        <v>78.254369999999966</v>
      </c>
      <c r="U545" s="311">
        <f t="shared" ca="1" si="234"/>
        <v>0</v>
      </c>
      <c r="V545" s="306">
        <f t="shared" ca="1" si="235"/>
        <v>1.2253284813022245</v>
      </c>
      <c r="W545" s="304">
        <f t="shared" ca="1" si="236"/>
        <v>59.154578084653551</v>
      </c>
      <c r="Y545" s="314" t="str">
        <f t="shared" ca="1" si="254"/>
        <v/>
      </c>
      <c r="Z545" s="315" t="str">
        <f t="shared" ca="1" si="255"/>
        <v/>
      </c>
      <c r="AA545" s="316" t="str">
        <f t="shared" ca="1" si="256"/>
        <v/>
      </c>
      <c r="AC545" s="310" t="e">
        <f t="shared" ca="1" si="257"/>
        <v>#N/A</v>
      </c>
      <c r="AD545" s="323" t="e">
        <f t="shared" ca="1" si="258"/>
        <v>#N/A</v>
      </c>
      <c r="AE545" s="324" t="e">
        <f t="shared" ca="1" si="237"/>
        <v>#N/A</v>
      </c>
      <c r="AG545" s="306">
        <f t="shared" ca="1" si="259"/>
        <v>2.3468086096291758</v>
      </c>
      <c r="AH545" s="304">
        <f t="shared" ca="1" si="260"/>
        <v>-7.4156045196602962</v>
      </c>
    </row>
    <row r="546" spans="1:34" x14ac:dyDescent="0.2">
      <c r="A546" s="347">
        <f t="shared" ca="1" si="238"/>
        <v>1E-4</v>
      </c>
      <c r="B546" s="304">
        <f t="shared" ca="1" si="239"/>
        <v>33.602600000000294</v>
      </c>
      <c r="D546" s="306">
        <f t="shared" ca="1" si="240"/>
        <v>-0.72952808383202117</v>
      </c>
      <c r="E546" s="307">
        <f t="shared" ca="1" si="241"/>
        <v>-2.4303293780885502</v>
      </c>
      <c r="F546" s="304">
        <f t="shared" ca="1" si="242"/>
        <v>2.5374617457411843</v>
      </c>
      <c r="G546" s="306">
        <f t="shared" ca="1" si="243"/>
        <v>11.893007208850237</v>
      </c>
      <c r="H546" s="307">
        <f t="shared" ca="1" si="244"/>
        <v>-120.30680314781738</v>
      </c>
      <c r="I546" s="304">
        <f t="shared" ca="1" si="245"/>
        <v>120.89321942986481</v>
      </c>
      <c r="J546" s="306">
        <f t="shared" ca="1" si="246"/>
        <v>755.70453742140728</v>
      </c>
      <c r="K546" s="307">
        <f t="shared" ca="1" si="247"/>
        <v>-2.6931512177600414</v>
      </c>
      <c r="L546" s="304">
        <f t="shared" ca="1" si="232"/>
        <v>755.70933628134094</v>
      </c>
      <c r="M546" s="306">
        <f t="shared" ca="1" si="248"/>
        <v>-1.4722608221382947</v>
      </c>
      <c r="N546" s="304">
        <f t="shared" ca="1" si="249"/>
        <v>-84.354331450985043</v>
      </c>
      <c r="P546" s="310">
        <f t="shared" ca="1" si="250"/>
        <v>23</v>
      </c>
      <c r="Q546" s="304">
        <f t="shared" ca="1" si="251"/>
        <v>0</v>
      </c>
      <c r="R546" s="306">
        <f t="shared" ca="1" si="252"/>
        <v>0</v>
      </c>
      <c r="S546" s="307">
        <f t="shared" ca="1" si="253"/>
        <v>7.9769999999999968</v>
      </c>
      <c r="T546" s="304">
        <f t="shared" ca="1" si="233"/>
        <v>78.254369999999966</v>
      </c>
      <c r="U546" s="311">
        <f t="shared" ca="1" si="234"/>
        <v>0</v>
      </c>
      <c r="V546" s="306">
        <f t="shared" ca="1" si="235"/>
        <v>1.2253299554551726</v>
      </c>
      <c r="W546" s="304">
        <f t="shared" ca="1" si="236"/>
        <v>59.154878913589499</v>
      </c>
      <c r="Y546" s="314" t="str">
        <f t="shared" ca="1" si="254"/>
        <v/>
      </c>
      <c r="Z546" s="315" t="str">
        <f t="shared" ca="1" si="255"/>
        <v/>
      </c>
      <c r="AA546" s="316" t="str">
        <f t="shared" ca="1" si="256"/>
        <v/>
      </c>
      <c r="AC546" s="310" t="e">
        <f t="shared" ca="1" si="257"/>
        <v>#N/A</v>
      </c>
      <c r="AD546" s="323" t="e">
        <f t="shared" ca="1" si="258"/>
        <v>#N/A</v>
      </c>
      <c r="AE546" s="324" t="e">
        <f t="shared" ca="1" si="237"/>
        <v>#N/A</v>
      </c>
      <c r="AG546" s="306">
        <f t="shared" ca="1" si="259"/>
        <v>2.3467716677127628</v>
      </c>
      <c r="AH546" s="304">
        <f t="shared" ca="1" si="260"/>
        <v>-7.4156422319986932</v>
      </c>
    </row>
    <row r="547" spans="1:34" x14ac:dyDescent="0.2">
      <c r="A547" s="347">
        <f t="shared" ca="1" si="238"/>
        <v>1E-4</v>
      </c>
      <c r="B547" s="304">
        <f t="shared" ca="1" si="239"/>
        <v>33.602700000000297</v>
      </c>
      <c r="D547" s="306">
        <f t="shared" ca="1" si="240"/>
        <v>-0.7295259026841705</v>
      </c>
      <c r="E547" s="307">
        <f t="shared" ca="1" si="241"/>
        <v>-2.4302912666069743</v>
      </c>
      <c r="F547" s="304">
        <f t="shared" ca="1" si="242"/>
        <v>2.5374246162661236</v>
      </c>
      <c r="G547" s="306">
        <f t="shared" ca="1" si="243"/>
        <v>11.892934256259968</v>
      </c>
      <c r="H547" s="307">
        <f t="shared" ca="1" si="244"/>
        <v>-120.30704617694404</v>
      </c>
      <c r="I547" s="304">
        <f t="shared" ca="1" si="245"/>
        <v>120.89345410337594</v>
      </c>
      <c r="J547" s="306">
        <f t="shared" ca="1" si="246"/>
        <v>755.70453742140728</v>
      </c>
      <c r="K547" s="307">
        <f t="shared" ca="1" si="247"/>
        <v>-2.7051819102262793</v>
      </c>
      <c r="L547" s="304">
        <f t="shared" ca="1" si="232"/>
        <v>755.70937925135649</v>
      </c>
      <c r="M547" s="306">
        <f t="shared" ca="1" si="248"/>
        <v>-1.4722616204196024</v>
      </c>
      <c r="N547" s="304">
        <f t="shared" ca="1" si="249"/>
        <v>-84.354377189134837</v>
      </c>
      <c r="P547" s="310">
        <f t="shared" ca="1" si="250"/>
        <v>23</v>
      </c>
      <c r="Q547" s="304">
        <f t="shared" ca="1" si="251"/>
        <v>0</v>
      </c>
      <c r="R547" s="306">
        <f t="shared" ca="1" si="252"/>
        <v>0</v>
      </c>
      <c r="S547" s="307">
        <f t="shared" ca="1" si="253"/>
        <v>7.9769999999999968</v>
      </c>
      <c r="T547" s="304">
        <f t="shared" ca="1" si="233"/>
        <v>78.254369999999966</v>
      </c>
      <c r="U547" s="311">
        <f t="shared" ca="1" si="234"/>
        <v>0</v>
      </c>
      <c r="V547" s="306">
        <f t="shared" ca="1" si="235"/>
        <v>1.2253314296128726</v>
      </c>
      <c r="W547" s="304">
        <f t="shared" ca="1" si="236"/>
        <v>59.155179740138045</v>
      </c>
      <c r="Y547" s="314" t="str">
        <f t="shared" ca="1" si="254"/>
        <v/>
      </c>
      <c r="Z547" s="315" t="str">
        <f t="shared" ca="1" si="255"/>
        <v/>
      </c>
      <c r="AA547" s="316" t="str">
        <f t="shared" ca="1" si="256"/>
        <v/>
      </c>
      <c r="AC547" s="310" t="e">
        <f t="shared" ca="1" si="257"/>
        <v>#N/A</v>
      </c>
      <c r="AD547" s="323" t="e">
        <f t="shared" ca="1" si="258"/>
        <v>#N/A</v>
      </c>
      <c r="AE547" s="324" t="e">
        <f t="shared" ca="1" si="237"/>
        <v>#N/A</v>
      </c>
      <c r="AG547" s="306">
        <f t="shared" ca="1" si="259"/>
        <v>2.3467347260817037</v>
      </c>
      <c r="AH547" s="304">
        <f t="shared" ca="1" si="260"/>
        <v>-7.415679944037799</v>
      </c>
    </row>
    <row r="548" spans="1:34" x14ac:dyDescent="0.2">
      <c r="A548" s="347">
        <f t="shared" ca="1" si="238"/>
        <v>1E-4</v>
      </c>
      <c r="B548" s="304">
        <f t="shared" ca="1" si="239"/>
        <v>33.6028000000003</v>
      </c>
      <c r="D548" s="306">
        <f t="shared" ca="1" si="240"/>
        <v>-0.72952372150550349</v>
      </c>
      <c r="E548" s="307">
        <f t="shared" ca="1" si="241"/>
        <v>-2.4302531554278453</v>
      </c>
      <c r="F548" s="304">
        <f t="shared" ca="1" si="242"/>
        <v>2.5373874871028739</v>
      </c>
      <c r="G548" s="306">
        <f t="shared" ca="1" si="243"/>
        <v>11.892861303887818</v>
      </c>
      <c r="H548" s="307">
        <f t="shared" ca="1" si="244"/>
        <v>-120.30728920225958</v>
      </c>
      <c r="I548" s="304">
        <f t="shared" ca="1" si="245"/>
        <v>120.89368877319293</v>
      </c>
      <c r="J548" s="306">
        <f t="shared" ca="1" si="246"/>
        <v>755.70453742140728</v>
      </c>
      <c r="K548" s="307">
        <f t="shared" ca="1" si="247"/>
        <v>-2.7172126269952397</v>
      </c>
      <c r="L548" s="304">
        <f t="shared" ca="1" si="232"/>
        <v>755.70942241298246</v>
      </c>
      <c r="M548" s="306">
        <f t="shared" ca="1" si="248"/>
        <v>-1.4722624186929145</v>
      </c>
      <c r="N548" s="304">
        <f t="shared" ca="1" si="249"/>
        <v>-84.354422926826516</v>
      </c>
      <c r="P548" s="310">
        <f t="shared" ca="1" si="250"/>
        <v>23</v>
      </c>
      <c r="Q548" s="304">
        <f t="shared" ca="1" si="251"/>
        <v>0</v>
      </c>
      <c r="R548" s="306">
        <f t="shared" ca="1" si="252"/>
        <v>0</v>
      </c>
      <c r="S548" s="307">
        <f t="shared" ca="1" si="253"/>
        <v>7.9769999999999968</v>
      </c>
      <c r="T548" s="304">
        <f t="shared" ca="1" si="233"/>
        <v>78.254369999999966</v>
      </c>
      <c r="U548" s="311">
        <f t="shared" ca="1" si="234"/>
        <v>0</v>
      </c>
      <c r="V548" s="306">
        <f t="shared" ca="1" si="235"/>
        <v>1.225332903775324</v>
      </c>
      <c r="W548" s="304">
        <f t="shared" ca="1" si="236"/>
        <v>59.155480564299154</v>
      </c>
      <c r="Y548" s="314" t="str">
        <f t="shared" ca="1" si="254"/>
        <v/>
      </c>
      <c r="Z548" s="315" t="str">
        <f t="shared" ca="1" si="255"/>
        <v/>
      </c>
      <c r="AA548" s="316" t="str">
        <f t="shared" ca="1" si="256"/>
        <v/>
      </c>
      <c r="AC548" s="310" t="e">
        <f t="shared" ca="1" si="257"/>
        <v>#N/A</v>
      </c>
      <c r="AD548" s="323" t="e">
        <f t="shared" ca="1" si="258"/>
        <v>#N/A</v>
      </c>
      <c r="AE548" s="324" t="e">
        <f t="shared" ca="1" si="237"/>
        <v>#N/A</v>
      </c>
      <c r="AG548" s="306">
        <f t="shared" ca="1" si="259"/>
        <v>2.3466977847359924</v>
      </c>
      <c r="AH548" s="304">
        <f t="shared" ca="1" si="260"/>
        <v>-7.4157176557776197</v>
      </c>
    </row>
    <row r="549" spans="1:34" x14ac:dyDescent="0.2">
      <c r="A549" s="347">
        <f t="shared" ca="1" si="238"/>
        <v>1E-4</v>
      </c>
      <c r="B549" s="304">
        <f t="shared" ca="1" si="239"/>
        <v>33.602900000000304</v>
      </c>
      <c r="D549" s="306">
        <f t="shared" ca="1" si="240"/>
        <v>-0.72952154029601757</v>
      </c>
      <c r="E549" s="307">
        <f t="shared" ca="1" si="241"/>
        <v>-2.4302150445511694</v>
      </c>
      <c r="F549" s="304">
        <f t="shared" ca="1" si="242"/>
        <v>2.537350358251441</v>
      </c>
      <c r="G549" s="306">
        <f t="shared" ca="1" si="243"/>
        <v>11.892788351733788</v>
      </c>
      <c r="H549" s="307">
        <f t="shared" ca="1" si="244"/>
        <v>-120.30753222376404</v>
      </c>
      <c r="I549" s="304">
        <f t="shared" ca="1" si="245"/>
        <v>120.89392343931584</v>
      </c>
      <c r="J549" s="306">
        <f t="shared" ca="1" si="246"/>
        <v>755.70453742140728</v>
      </c>
      <c r="K549" s="307">
        <f t="shared" ca="1" si="247"/>
        <v>-2.7292433680665407</v>
      </c>
      <c r="L549" s="304">
        <f t="shared" ca="1" si="232"/>
        <v>755.70946576621975</v>
      </c>
      <c r="M549" s="306">
        <f t="shared" ca="1" si="248"/>
        <v>-1.4722632169582308</v>
      </c>
      <c r="N549" s="304">
        <f t="shared" ca="1" si="249"/>
        <v>-84.354468664060079</v>
      </c>
      <c r="P549" s="310">
        <f t="shared" ca="1" si="250"/>
        <v>23</v>
      </c>
      <c r="Q549" s="304">
        <f t="shared" ca="1" si="251"/>
        <v>0</v>
      </c>
      <c r="R549" s="306">
        <f t="shared" ca="1" si="252"/>
        <v>0</v>
      </c>
      <c r="S549" s="307">
        <f t="shared" ca="1" si="253"/>
        <v>7.9769999999999968</v>
      </c>
      <c r="T549" s="304">
        <f t="shared" ca="1" si="233"/>
        <v>78.254369999999966</v>
      </c>
      <c r="U549" s="311">
        <f t="shared" ca="1" si="234"/>
        <v>0</v>
      </c>
      <c r="V549" s="306">
        <f t="shared" ca="1" si="235"/>
        <v>1.2253343779425274</v>
      </c>
      <c r="W549" s="304">
        <f t="shared" ca="1" si="236"/>
        <v>59.155781386072874</v>
      </c>
      <c r="Y549" s="314" t="str">
        <f t="shared" ca="1" si="254"/>
        <v/>
      </c>
      <c r="Z549" s="315" t="str">
        <f t="shared" ca="1" si="255"/>
        <v/>
      </c>
      <c r="AA549" s="316" t="str">
        <f t="shared" ca="1" si="256"/>
        <v/>
      </c>
      <c r="AC549" s="310" t="e">
        <f t="shared" ca="1" si="257"/>
        <v>#N/A</v>
      </c>
      <c r="AD549" s="323" t="e">
        <f t="shared" ca="1" si="258"/>
        <v>#N/A</v>
      </c>
      <c r="AE549" s="324" t="e">
        <f t="shared" ca="1" si="237"/>
        <v>#N/A</v>
      </c>
      <c r="AG549" s="306">
        <f t="shared" ca="1" si="259"/>
        <v>2.3466608436756333</v>
      </c>
      <c r="AH549" s="304">
        <f t="shared" ca="1" si="260"/>
        <v>-7.4157553672181491</v>
      </c>
    </row>
    <row r="550" spans="1:34" x14ac:dyDescent="0.2">
      <c r="A550" s="347">
        <f t="shared" ca="1" si="238"/>
        <v>1E-4</v>
      </c>
      <c r="B550" s="304">
        <f t="shared" ca="1" si="239"/>
        <v>33.603000000000307</v>
      </c>
      <c r="D550" s="306">
        <f t="shared" ca="1" si="240"/>
        <v>-0.72951935905571696</v>
      </c>
      <c r="E550" s="307">
        <f t="shared" ca="1" si="241"/>
        <v>-2.430176933976937</v>
      </c>
      <c r="F550" s="304">
        <f t="shared" ca="1" si="242"/>
        <v>2.5373132297118168</v>
      </c>
      <c r="G550" s="306">
        <f t="shared" ca="1" si="243"/>
        <v>11.892715399797883</v>
      </c>
      <c r="H550" s="307">
        <f t="shared" ca="1" si="244"/>
        <v>-120.30777524145743</v>
      </c>
      <c r="I550" s="304">
        <f t="shared" ca="1" si="245"/>
        <v>120.89415810174464</v>
      </c>
      <c r="J550" s="306">
        <f t="shared" ca="1" si="246"/>
        <v>755.70453742140728</v>
      </c>
      <c r="K550" s="307">
        <f t="shared" ca="1" si="247"/>
        <v>-2.7412741334398016</v>
      </c>
      <c r="L550" s="304">
        <f t="shared" ca="1" si="232"/>
        <v>755.70950931106972</v>
      </c>
      <c r="M550" s="306">
        <f t="shared" ca="1" si="248"/>
        <v>-1.4722640152155513</v>
      </c>
      <c r="N550" s="304">
        <f t="shared" ca="1" si="249"/>
        <v>-84.354514400835498</v>
      </c>
      <c r="P550" s="310">
        <f t="shared" ca="1" si="250"/>
        <v>23</v>
      </c>
      <c r="Q550" s="304">
        <f t="shared" ca="1" si="251"/>
        <v>0</v>
      </c>
      <c r="R550" s="306">
        <f t="shared" ca="1" si="252"/>
        <v>0</v>
      </c>
      <c r="S550" s="307">
        <f t="shared" ca="1" si="253"/>
        <v>7.9769999999999968</v>
      </c>
      <c r="T550" s="304">
        <f t="shared" ca="1" si="233"/>
        <v>78.254369999999966</v>
      </c>
      <c r="U550" s="311">
        <f t="shared" ca="1" si="234"/>
        <v>0</v>
      </c>
      <c r="V550" s="306">
        <f t="shared" ca="1" si="235"/>
        <v>1.2253358521144821</v>
      </c>
      <c r="W550" s="304">
        <f t="shared" ca="1" si="236"/>
        <v>59.156082205459128</v>
      </c>
      <c r="Y550" s="314" t="str">
        <f t="shared" ca="1" si="254"/>
        <v/>
      </c>
      <c r="Z550" s="315" t="str">
        <f t="shared" ca="1" si="255"/>
        <v/>
      </c>
      <c r="AA550" s="316" t="str">
        <f t="shared" ca="1" si="256"/>
        <v/>
      </c>
      <c r="AC550" s="310" t="e">
        <f t="shared" ca="1" si="257"/>
        <v>#N/A</v>
      </c>
      <c r="AD550" s="323" t="e">
        <f t="shared" ca="1" si="258"/>
        <v>#N/A</v>
      </c>
      <c r="AE550" s="324" t="e">
        <f t="shared" ca="1" si="237"/>
        <v>#N/A</v>
      </c>
      <c r="AG550" s="306">
        <f t="shared" ca="1" si="259"/>
        <v>2.3466239029006219</v>
      </c>
      <c r="AH550" s="304">
        <f t="shared" ca="1" si="260"/>
        <v>-7.4157930783593953</v>
      </c>
    </row>
    <row r="551" spans="1:34" x14ac:dyDescent="0.2">
      <c r="A551" s="347">
        <f t="shared" ca="1" si="238"/>
        <v>1E-4</v>
      </c>
      <c r="B551" s="304">
        <f t="shared" ca="1" si="239"/>
        <v>33.60310000000031</v>
      </c>
      <c r="D551" s="306">
        <f t="shared" ca="1" si="240"/>
        <v>-0.72951717778460212</v>
      </c>
      <c r="E551" s="307">
        <f t="shared" ca="1" si="241"/>
        <v>-2.4301388237051595</v>
      </c>
      <c r="F551" s="304">
        <f t="shared" ca="1" si="242"/>
        <v>2.5372761014840122</v>
      </c>
      <c r="G551" s="306">
        <f t="shared" ca="1" si="243"/>
        <v>11.892642448080105</v>
      </c>
      <c r="H551" s="307">
        <f t="shared" ca="1" si="244"/>
        <v>-120.3080182553398</v>
      </c>
      <c r="I551" s="304">
        <f t="shared" ca="1" si="245"/>
        <v>120.89439276047939</v>
      </c>
      <c r="J551" s="306">
        <f t="shared" ca="1" si="246"/>
        <v>755.70453742140728</v>
      </c>
      <c r="K551" s="307">
        <f t="shared" ca="1" si="247"/>
        <v>-2.7533049231146416</v>
      </c>
      <c r="L551" s="304">
        <f t="shared" ca="1" si="232"/>
        <v>755.7095530475334</v>
      </c>
      <c r="M551" s="306">
        <f t="shared" ca="1" si="248"/>
        <v>-1.4722648134648766</v>
      </c>
      <c r="N551" s="304">
        <f t="shared" ca="1" si="249"/>
        <v>-84.354560137152845</v>
      </c>
      <c r="P551" s="310">
        <f t="shared" ca="1" si="250"/>
        <v>23</v>
      </c>
      <c r="Q551" s="304">
        <f t="shared" ca="1" si="251"/>
        <v>0</v>
      </c>
      <c r="R551" s="306">
        <f t="shared" ca="1" si="252"/>
        <v>0</v>
      </c>
      <c r="S551" s="307">
        <f t="shared" ca="1" si="253"/>
        <v>7.9769999999999968</v>
      </c>
      <c r="T551" s="304">
        <f t="shared" ca="1" si="233"/>
        <v>78.254369999999966</v>
      </c>
      <c r="U551" s="311">
        <f t="shared" ca="1" si="234"/>
        <v>0</v>
      </c>
      <c r="V551" s="306">
        <f t="shared" ca="1" si="235"/>
        <v>1.2253373262911884</v>
      </c>
      <c r="W551" s="304">
        <f t="shared" ca="1" si="236"/>
        <v>59.156383022457938</v>
      </c>
      <c r="Y551" s="314" t="str">
        <f t="shared" ca="1" si="254"/>
        <v/>
      </c>
      <c r="Z551" s="315" t="str">
        <f t="shared" ca="1" si="255"/>
        <v/>
      </c>
      <c r="AA551" s="316" t="str">
        <f t="shared" ca="1" si="256"/>
        <v/>
      </c>
      <c r="AC551" s="310" t="e">
        <f t="shared" ca="1" si="257"/>
        <v>#N/A</v>
      </c>
      <c r="AD551" s="323" t="e">
        <f t="shared" ca="1" si="258"/>
        <v>#N/A</v>
      </c>
      <c r="AE551" s="324" t="e">
        <f t="shared" ca="1" si="237"/>
        <v>#N/A</v>
      </c>
      <c r="AG551" s="306">
        <f t="shared" ca="1" si="259"/>
        <v>2.3465869624109654</v>
      </c>
      <c r="AH551" s="304">
        <f t="shared" ca="1" si="260"/>
        <v>-7.4158307892013475</v>
      </c>
    </row>
    <row r="552" spans="1:34" x14ac:dyDescent="0.2">
      <c r="A552" s="347">
        <f t="shared" ca="1" si="238"/>
        <v>1E-4</v>
      </c>
      <c r="B552" s="304">
        <f t="shared" ca="1" si="239"/>
        <v>33.603200000000314</v>
      </c>
      <c r="D552" s="306">
        <f t="shared" ca="1" si="240"/>
        <v>-0.72951499648267015</v>
      </c>
      <c r="E552" s="307">
        <f t="shared" ca="1" si="241"/>
        <v>-2.4301007137358344</v>
      </c>
      <c r="F552" s="304">
        <f t="shared" ca="1" si="242"/>
        <v>2.5372389735680243</v>
      </c>
      <c r="G552" s="306">
        <f t="shared" ca="1" si="243"/>
        <v>11.892569496580457</v>
      </c>
      <c r="H552" s="307">
        <f t="shared" ca="1" si="244"/>
        <v>-120.30826126541118</v>
      </c>
      <c r="I552" s="304">
        <f t="shared" ca="1" si="245"/>
        <v>120.89462741552013</v>
      </c>
      <c r="J552" s="306">
        <f t="shared" ca="1" si="246"/>
        <v>755.70453742140728</v>
      </c>
      <c r="K552" s="307">
        <f t="shared" ca="1" si="247"/>
        <v>-2.765335737090679</v>
      </c>
      <c r="L552" s="304">
        <f t="shared" ca="1" si="232"/>
        <v>755.70959697561204</v>
      </c>
      <c r="M552" s="306">
        <f t="shared" ca="1" si="248"/>
        <v>-1.4722656117062063</v>
      </c>
      <c r="N552" s="304">
        <f t="shared" ca="1" si="249"/>
        <v>-84.354605873012062</v>
      </c>
      <c r="P552" s="310">
        <f t="shared" ca="1" si="250"/>
        <v>23</v>
      </c>
      <c r="Q552" s="304">
        <f t="shared" ca="1" si="251"/>
        <v>0</v>
      </c>
      <c r="R552" s="306">
        <f t="shared" ca="1" si="252"/>
        <v>0</v>
      </c>
      <c r="S552" s="307">
        <f t="shared" ca="1" si="253"/>
        <v>7.9769999999999968</v>
      </c>
      <c r="T552" s="304">
        <f t="shared" ca="1" si="233"/>
        <v>78.254369999999966</v>
      </c>
      <c r="U552" s="311">
        <f t="shared" ca="1" si="234"/>
        <v>0</v>
      </c>
      <c r="V552" s="306">
        <f t="shared" ca="1" si="235"/>
        <v>1.2253388004726466</v>
      </c>
      <c r="W552" s="304">
        <f t="shared" ca="1" si="236"/>
        <v>59.156683837069352</v>
      </c>
      <c r="Y552" s="314" t="str">
        <f t="shared" ca="1" si="254"/>
        <v/>
      </c>
      <c r="Z552" s="315" t="str">
        <f t="shared" ca="1" si="255"/>
        <v/>
      </c>
      <c r="AA552" s="316" t="str">
        <f t="shared" ca="1" si="256"/>
        <v/>
      </c>
      <c r="AC552" s="310" t="e">
        <f t="shared" ca="1" si="257"/>
        <v>#N/A</v>
      </c>
      <c r="AD552" s="323" t="e">
        <f t="shared" ca="1" si="258"/>
        <v>#N/A</v>
      </c>
      <c r="AE552" s="324" t="e">
        <f t="shared" ca="1" si="237"/>
        <v>#N/A</v>
      </c>
      <c r="AG552" s="306">
        <f t="shared" ca="1" si="259"/>
        <v>2.3465500222066638</v>
      </c>
      <c r="AH552" s="304">
        <f t="shared" ca="1" si="260"/>
        <v>-7.4158684997440094</v>
      </c>
    </row>
    <row r="553" spans="1:34" x14ac:dyDescent="0.2">
      <c r="A553" s="347">
        <f t="shared" ca="1" si="238"/>
        <v>1E-4</v>
      </c>
      <c r="B553" s="304">
        <f t="shared" ca="1" si="239"/>
        <v>33.603300000000317</v>
      </c>
      <c r="D553" s="306">
        <f t="shared" ca="1" si="240"/>
        <v>-0.7295128151499265</v>
      </c>
      <c r="E553" s="307">
        <f t="shared" ca="1" si="241"/>
        <v>-2.4300626040689552</v>
      </c>
      <c r="F553" s="304">
        <f t="shared" ca="1" si="242"/>
        <v>2.5372018459638488</v>
      </c>
      <c r="G553" s="306">
        <f t="shared" ca="1" si="243"/>
        <v>11.892496545298942</v>
      </c>
      <c r="H553" s="307">
        <f t="shared" ca="1" si="244"/>
        <v>-120.30850427167158</v>
      </c>
      <c r="I553" s="304">
        <f t="shared" ca="1" si="245"/>
        <v>120.89486206686688</v>
      </c>
      <c r="J553" s="306">
        <f t="shared" ca="1" si="246"/>
        <v>755.70453742140728</v>
      </c>
      <c r="K553" s="307">
        <f t="shared" ca="1" si="247"/>
        <v>-2.777366575367533</v>
      </c>
      <c r="L553" s="304">
        <f t="shared" ca="1" si="232"/>
        <v>755.70964109530655</v>
      </c>
      <c r="M553" s="306">
        <f t="shared" ca="1" si="248"/>
        <v>-1.4722664099395408</v>
      </c>
      <c r="N553" s="304">
        <f t="shared" ca="1" si="249"/>
        <v>-84.354651608413207</v>
      </c>
      <c r="P553" s="310">
        <f t="shared" ca="1" si="250"/>
        <v>23</v>
      </c>
      <c r="Q553" s="304">
        <f t="shared" ca="1" si="251"/>
        <v>0</v>
      </c>
      <c r="R553" s="306">
        <f t="shared" ca="1" si="252"/>
        <v>0</v>
      </c>
      <c r="S553" s="307">
        <f t="shared" ca="1" si="253"/>
        <v>7.9769999999999968</v>
      </c>
      <c r="T553" s="304">
        <f t="shared" ca="1" si="233"/>
        <v>78.254369999999966</v>
      </c>
      <c r="U553" s="311">
        <f t="shared" ca="1" si="234"/>
        <v>0</v>
      </c>
      <c r="V553" s="306">
        <f t="shared" ca="1" si="235"/>
        <v>1.2253402746588555</v>
      </c>
      <c r="W553" s="304">
        <f t="shared" ca="1" si="236"/>
        <v>59.156984649293285</v>
      </c>
      <c r="Y553" s="314" t="str">
        <f t="shared" ca="1" si="254"/>
        <v/>
      </c>
      <c r="Z553" s="315" t="str">
        <f t="shared" ca="1" si="255"/>
        <v/>
      </c>
      <c r="AA553" s="316" t="str">
        <f t="shared" ca="1" si="256"/>
        <v/>
      </c>
      <c r="AC553" s="310" t="e">
        <f t="shared" ca="1" si="257"/>
        <v>#N/A</v>
      </c>
      <c r="AD553" s="323" t="e">
        <f t="shared" ca="1" si="258"/>
        <v>#N/A</v>
      </c>
      <c r="AE553" s="324" t="e">
        <f t="shared" ca="1" si="237"/>
        <v>#N/A</v>
      </c>
      <c r="AG553" s="306">
        <f t="shared" ca="1" si="259"/>
        <v>2.3465130822877125</v>
      </c>
      <c r="AH553" s="304">
        <f t="shared" ca="1" si="260"/>
        <v>-7.4159062099873854</v>
      </c>
    </row>
    <row r="554" spans="1:34" x14ac:dyDescent="0.2">
      <c r="A554" s="347">
        <f t="shared" ca="1" si="238"/>
        <v>1E-4</v>
      </c>
      <c r="B554" s="304">
        <f t="shared" ca="1" si="239"/>
        <v>33.60340000000032</v>
      </c>
      <c r="D554" s="306">
        <f t="shared" ca="1" si="240"/>
        <v>-0.72951063378636849</v>
      </c>
      <c r="E554" s="307">
        <f t="shared" ca="1" si="241"/>
        <v>-2.430024494704532</v>
      </c>
      <c r="F554" s="304">
        <f t="shared" ca="1" si="242"/>
        <v>2.5371647186714945</v>
      </c>
      <c r="G554" s="306">
        <f t="shared" ca="1" si="243"/>
        <v>11.892423594235563</v>
      </c>
      <c r="H554" s="307">
        <f t="shared" ca="1" si="244"/>
        <v>-120.30874727412105</v>
      </c>
      <c r="I554" s="304">
        <f t="shared" ca="1" si="245"/>
        <v>120.89509671451965</v>
      </c>
      <c r="J554" s="306">
        <f t="shared" ca="1" si="246"/>
        <v>755.70453742140728</v>
      </c>
      <c r="K554" s="307">
        <f t="shared" ca="1" si="247"/>
        <v>-2.7893974379448228</v>
      </c>
      <c r="L554" s="304">
        <f t="shared" ca="1" si="232"/>
        <v>755.70968540661829</v>
      </c>
      <c r="M554" s="306">
        <f t="shared" ca="1" si="248"/>
        <v>-1.4722672081648802</v>
      </c>
      <c r="N554" s="304">
        <f t="shared" ca="1" si="249"/>
        <v>-84.35469734335625</v>
      </c>
      <c r="P554" s="310">
        <f t="shared" ca="1" si="250"/>
        <v>23</v>
      </c>
      <c r="Q554" s="304">
        <f t="shared" ca="1" si="251"/>
        <v>0</v>
      </c>
      <c r="R554" s="306">
        <f t="shared" ca="1" si="252"/>
        <v>0</v>
      </c>
      <c r="S554" s="307">
        <f t="shared" ca="1" si="253"/>
        <v>7.9769999999999968</v>
      </c>
      <c r="T554" s="304">
        <f t="shared" ca="1" si="233"/>
        <v>78.254369999999966</v>
      </c>
      <c r="U554" s="311">
        <f t="shared" ca="1" si="234"/>
        <v>0</v>
      </c>
      <c r="V554" s="306">
        <f t="shared" ca="1" si="235"/>
        <v>1.2253417488498164</v>
      </c>
      <c r="W554" s="304">
        <f t="shared" ca="1" si="236"/>
        <v>59.15728545912981</v>
      </c>
      <c r="Y554" s="314" t="str">
        <f t="shared" ca="1" si="254"/>
        <v/>
      </c>
      <c r="Z554" s="315" t="str">
        <f t="shared" ca="1" si="255"/>
        <v/>
      </c>
      <c r="AA554" s="316" t="str">
        <f t="shared" ca="1" si="256"/>
        <v/>
      </c>
      <c r="AC554" s="310" t="e">
        <f t="shared" ca="1" si="257"/>
        <v>#N/A</v>
      </c>
      <c r="AD554" s="323" t="e">
        <f t="shared" ca="1" si="258"/>
        <v>#N/A</v>
      </c>
      <c r="AE554" s="324" t="e">
        <f t="shared" ca="1" si="237"/>
        <v>#N/A</v>
      </c>
      <c r="AG554" s="306">
        <f t="shared" ca="1" si="259"/>
        <v>2.3464761426541187</v>
      </c>
      <c r="AH554" s="304">
        <f t="shared" ca="1" si="260"/>
        <v>-7.4159439199314665</v>
      </c>
    </row>
    <row r="555" spans="1:34" x14ac:dyDescent="0.2">
      <c r="A555" s="347">
        <f t="shared" ca="1" si="238"/>
        <v>1E-4</v>
      </c>
      <c r="B555" s="304">
        <f t="shared" ca="1" si="239"/>
        <v>33.603500000000324</v>
      </c>
      <c r="D555" s="306">
        <f t="shared" ca="1" si="240"/>
        <v>-0.72950845239199869</v>
      </c>
      <c r="E555" s="307">
        <f t="shared" ca="1" si="241"/>
        <v>-2.4299863856425574</v>
      </c>
      <c r="F555" s="304">
        <f t="shared" ca="1" si="242"/>
        <v>2.5371275916909557</v>
      </c>
      <c r="G555" s="306">
        <f t="shared" ca="1" si="243"/>
        <v>11.892350643390325</v>
      </c>
      <c r="H555" s="307">
        <f t="shared" ca="1" si="244"/>
        <v>-120.30899027275962</v>
      </c>
      <c r="I555" s="304">
        <f t="shared" ca="1" si="245"/>
        <v>120.8953313584785</v>
      </c>
      <c r="J555" s="306">
        <f t="shared" ca="1" si="246"/>
        <v>755.70453742140728</v>
      </c>
      <c r="K555" s="307">
        <f t="shared" ca="1" si="247"/>
        <v>-2.801428324822167</v>
      </c>
      <c r="L555" s="304">
        <f t="shared" ca="1" si="232"/>
        <v>755.70972990954817</v>
      </c>
      <c r="M555" s="306">
        <f t="shared" ca="1" si="248"/>
        <v>-1.4722680063822247</v>
      </c>
      <c r="N555" s="304">
        <f t="shared" ca="1" si="249"/>
        <v>-84.354743077841221</v>
      </c>
      <c r="P555" s="310">
        <f t="shared" ca="1" si="250"/>
        <v>23</v>
      </c>
      <c r="Q555" s="304">
        <f t="shared" ca="1" si="251"/>
        <v>0</v>
      </c>
      <c r="R555" s="306">
        <f t="shared" ca="1" si="252"/>
        <v>0</v>
      </c>
      <c r="S555" s="307">
        <f t="shared" ca="1" si="253"/>
        <v>7.9769999999999968</v>
      </c>
      <c r="T555" s="304">
        <f t="shared" ca="1" si="233"/>
        <v>78.254369999999966</v>
      </c>
      <c r="U555" s="311">
        <f t="shared" ca="1" si="234"/>
        <v>0</v>
      </c>
      <c r="V555" s="306">
        <f t="shared" ca="1" si="235"/>
        <v>1.225343223045529</v>
      </c>
      <c r="W555" s="304">
        <f t="shared" ca="1" si="236"/>
        <v>59.157586266578889</v>
      </c>
      <c r="Y555" s="314" t="str">
        <f t="shared" ca="1" si="254"/>
        <v/>
      </c>
      <c r="Z555" s="315" t="str">
        <f t="shared" ca="1" si="255"/>
        <v/>
      </c>
      <c r="AA555" s="316" t="str">
        <f t="shared" ca="1" si="256"/>
        <v/>
      </c>
      <c r="AC555" s="310" t="e">
        <f t="shared" ca="1" si="257"/>
        <v>#N/A</v>
      </c>
      <c r="AD555" s="323" t="e">
        <f t="shared" ca="1" si="258"/>
        <v>#N/A</v>
      </c>
      <c r="AE555" s="324" t="e">
        <f t="shared" ca="1" si="237"/>
        <v>#N/A</v>
      </c>
      <c r="AG555" s="306">
        <f t="shared" ca="1" si="259"/>
        <v>2.3464392033058763</v>
      </c>
      <c r="AH555" s="304">
        <f t="shared" ca="1" si="260"/>
        <v>-7.4159816295762608</v>
      </c>
    </row>
    <row r="556" spans="1:34" x14ac:dyDescent="0.2">
      <c r="A556" s="347">
        <f t="shared" ca="1" si="238"/>
        <v>1E-4</v>
      </c>
      <c r="B556" s="304">
        <f t="shared" ca="1" si="239"/>
        <v>33.603600000000327</v>
      </c>
      <c r="D556" s="306">
        <f t="shared" ca="1" si="240"/>
        <v>-0.72950627096681642</v>
      </c>
      <c r="E556" s="307">
        <f t="shared" ca="1" si="241"/>
        <v>-2.4299482768830352</v>
      </c>
      <c r="F556" s="304">
        <f t="shared" ca="1" si="242"/>
        <v>2.5370904650222355</v>
      </c>
      <c r="G556" s="306">
        <f t="shared" ca="1" si="243"/>
        <v>11.892277692763228</v>
      </c>
      <c r="H556" s="307">
        <f t="shared" ca="1" si="244"/>
        <v>-120.3092332675873</v>
      </c>
      <c r="I556" s="304">
        <f t="shared" ca="1" si="245"/>
        <v>120.89556599874344</v>
      </c>
      <c r="J556" s="306">
        <f t="shared" ca="1" si="246"/>
        <v>755.70453742140728</v>
      </c>
      <c r="K556" s="307">
        <f t="shared" ca="1" si="247"/>
        <v>-2.8134592359991841</v>
      </c>
      <c r="L556" s="304">
        <f t="shared" ca="1" si="232"/>
        <v>755.70977460409745</v>
      </c>
      <c r="M556" s="306">
        <f t="shared" ca="1" si="248"/>
        <v>-1.4722688045915742</v>
      </c>
      <c r="N556" s="304">
        <f t="shared" ca="1" si="249"/>
        <v>-84.354788811868119</v>
      </c>
      <c r="P556" s="310">
        <f t="shared" ca="1" si="250"/>
        <v>23</v>
      </c>
      <c r="Q556" s="304">
        <f t="shared" ca="1" si="251"/>
        <v>0</v>
      </c>
      <c r="R556" s="306">
        <f t="shared" ca="1" si="252"/>
        <v>0</v>
      </c>
      <c r="S556" s="307">
        <f t="shared" ca="1" si="253"/>
        <v>7.9769999999999968</v>
      </c>
      <c r="T556" s="304">
        <f t="shared" ca="1" si="233"/>
        <v>78.254369999999966</v>
      </c>
      <c r="U556" s="311">
        <f t="shared" ca="1" si="234"/>
        <v>0</v>
      </c>
      <c r="V556" s="306">
        <f t="shared" ca="1" si="235"/>
        <v>1.2253446972459927</v>
      </c>
      <c r="W556" s="304">
        <f t="shared" ca="1" si="236"/>
        <v>59.157887071640502</v>
      </c>
      <c r="Y556" s="314" t="str">
        <f t="shared" ca="1" si="254"/>
        <v/>
      </c>
      <c r="Z556" s="315" t="str">
        <f t="shared" ca="1" si="255"/>
        <v/>
      </c>
      <c r="AA556" s="316" t="str">
        <f t="shared" ca="1" si="256"/>
        <v/>
      </c>
      <c r="AC556" s="310" t="e">
        <f t="shared" ca="1" si="257"/>
        <v>#N/A</v>
      </c>
      <c r="AD556" s="323" t="e">
        <f t="shared" ca="1" si="258"/>
        <v>#N/A</v>
      </c>
      <c r="AE556" s="324" t="e">
        <f t="shared" ca="1" si="237"/>
        <v>#N/A</v>
      </c>
      <c r="AG556" s="306">
        <f t="shared" ca="1" si="259"/>
        <v>2.3464022642429896</v>
      </c>
      <c r="AH556" s="304">
        <f t="shared" ca="1" si="260"/>
        <v>-7.4160193389217639</v>
      </c>
    </row>
    <row r="557" spans="1:34" x14ac:dyDescent="0.2">
      <c r="A557" s="347">
        <f t="shared" ca="1" si="238"/>
        <v>1E-4</v>
      </c>
      <c r="B557" s="304">
        <f t="shared" ca="1" si="239"/>
        <v>33.60370000000033</v>
      </c>
      <c r="D557" s="306">
        <f t="shared" ca="1" si="240"/>
        <v>-0.72950408951082324</v>
      </c>
      <c r="E557" s="307">
        <f t="shared" ca="1" si="241"/>
        <v>-2.429910168425967</v>
      </c>
      <c r="F557" s="304">
        <f t="shared" ca="1" si="242"/>
        <v>2.5370533386653356</v>
      </c>
      <c r="G557" s="306">
        <f t="shared" ca="1" si="243"/>
        <v>11.892204742354277</v>
      </c>
      <c r="H557" s="307">
        <f t="shared" ca="1" si="244"/>
        <v>-120.30947625860415</v>
      </c>
      <c r="I557" s="304">
        <f t="shared" ca="1" si="245"/>
        <v>120.89580063531449</v>
      </c>
      <c r="J557" s="306">
        <f t="shared" ca="1" si="246"/>
        <v>755.70453742140728</v>
      </c>
      <c r="K557" s="307">
        <f t="shared" ca="1" si="247"/>
        <v>-2.8254901714754936</v>
      </c>
      <c r="L557" s="304">
        <f t="shared" ca="1" si="232"/>
        <v>755.70981949026714</v>
      </c>
      <c r="M557" s="306">
        <f t="shared" ca="1" si="248"/>
        <v>-1.4722696027929287</v>
      </c>
      <c r="N557" s="304">
        <f t="shared" ca="1" si="249"/>
        <v>-84.35483454543693</v>
      </c>
      <c r="P557" s="310">
        <f t="shared" ca="1" si="250"/>
        <v>23</v>
      </c>
      <c r="Q557" s="304">
        <f t="shared" ca="1" si="251"/>
        <v>0</v>
      </c>
      <c r="R557" s="306">
        <f t="shared" ca="1" si="252"/>
        <v>0</v>
      </c>
      <c r="S557" s="307">
        <f t="shared" ca="1" si="253"/>
        <v>7.9769999999999968</v>
      </c>
      <c r="T557" s="304">
        <f t="shared" ca="1" si="233"/>
        <v>78.254369999999966</v>
      </c>
      <c r="U557" s="311">
        <f t="shared" ca="1" si="234"/>
        <v>0</v>
      </c>
      <c r="V557" s="306">
        <f t="shared" ca="1" si="235"/>
        <v>1.2253461714512075</v>
      </c>
      <c r="W557" s="304">
        <f t="shared" ca="1" si="236"/>
        <v>59.158187874314656</v>
      </c>
      <c r="Y557" s="314" t="str">
        <f t="shared" ca="1" si="254"/>
        <v/>
      </c>
      <c r="Z557" s="315" t="str">
        <f t="shared" ca="1" si="255"/>
        <v/>
      </c>
      <c r="AA557" s="316" t="str">
        <f t="shared" ca="1" si="256"/>
        <v/>
      </c>
      <c r="AC557" s="310" t="e">
        <f t="shared" ca="1" si="257"/>
        <v>#N/A</v>
      </c>
      <c r="AD557" s="323" t="e">
        <f t="shared" ca="1" si="258"/>
        <v>#N/A</v>
      </c>
      <c r="AE557" s="324" t="e">
        <f t="shared" ca="1" si="237"/>
        <v>#N/A</v>
      </c>
      <c r="AG557" s="306">
        <f t="shared" ca="1" si="259"/>
        <v>2.3463653254654622</v>
      </c>
      <c r="AH557" s="304">
        <f t="shared" ca="1" si="260"/>
        <v>-7.4160570479679739</v>
      </c>
    </row>
    <row r="558" spans="1:34" x14ac:dyDescent="0.2">
      <c r="A558" s="347">
        <f t="shared" ca="1" si="238"/>
        <v>1E-4</v>
      </c>
      <c r="B558" s="304">
        <f t="shared" ca="1" si="239"/>
        <v>33.603800000000334</v>
      </c>
      <c r="D558" s="306">
        <f t="shared" ca="1" si="240"/>
        <v>-0.72950190802402082</v>
      </c>
      <c r="E558" s="307">
        <f t="shared" ca="1" si="241"/>
        <v>-2.4298720602713546</v>
      </c>
      <c r="F558" s="304">
        <f t="shared" ca="1" si="242"/>
        <v>2.5370162126202591</v>
      </c>
      <c r="G558" s="306">
        <f t="shared" ca="1" si="243"/>
        <v>11.892131792163475</v>
      </c>
      <c r="H558" s="307">
        <f t="shared" ca="1" si="244"/>
        <v>-120.30971924581017</v>
      </c>
      <c r="I558" s="304">
        <f t="shared" ca="1" si="245"/>
        <v>120.89603526819171</v>
      </c>
      <c r="J558" s="306">
        <f t="shared" ca="1" si="246"/>
        <v>755.70453742140728</v>
      </c>
      <c r="K558" s="307">
        <f t="shared" ca="1" si="247"/>
        <v>-2.8375211312507145</v>
      </c>
      <c r="L558" s="304">
        <f t="shared" ca="1" si="232"/>
        <v>755.70986456805861</v>
      </c>
      <c r="M558" s="306">
        <f t="shared" ca="1" si="248"/>
        <v>-1.4722704009862888</v>
      </c>
      <c r="N558" s="304">
        <f t="shared" ca="1" si="249"/>
        <v>-84.354880278547697</v>
      </c>
      <c r="P558" s="310">
        <f t="shared" ca="1" si="250"/>
        <v>23</v>
      </c>
      <c r="Q558" s="304">
        <f t="shared" ca="1" si="251"/>
        <v>0</v>
      </c>
      <c r="R558" s="306">
        <f t="shared" ca="1" si="252"/>
        <v>0</v>
      </c>
      <c r="S558" s="307">
        <f t="shared" ca="1" si="253"/>
        <v>7.9769999999999968</v>
      </c>
      <c r="T558" s="304">
        <f t="shared" ca="1" si="233"/>
        <v>78.254369999999966</v>
      </c>
      <c r="U558" s="311">
        <f t="shared" ca="1" si="234"/>
        <v>0</v>
      </c>
      <c r="V558" s="306">
        <f t="shared" ca="1" si="235"/>
        <v>1.225347645661174</v>
      </c>
      <c r="W558" s="304">
        <f t="shared" ca="1" si="236"/>
        <v>59.158488674601394</v>
      </c>
      <c r="Y558" s="314" t="str">
        <f t="shared" ca="1" si="254"/>
        <v/>
      </c>
      <c r="Z558" s="315" t="str">
        <f t="shared" ca="1" si="255"/>
        <v/>
      </c>
      <c r="AA558" s="316" t="str">
        <f t="shared" ca="1" si="256"/>
        <v/>
      </c>
      <c r="AC558" s="310" t="e">
        <f t="shared" ca="1" si="257"/>
        <v>#N/A</v>
      </c>
      <c r="AD558" s="323" t="e">
        <f t="shared" ca="1" si="258"/>
        <v>#N/A</v>
      </c>
      <c r="AE558" s="324" t="e">
        <f t="shared" ca="1" si="237"/>
        <v>#N/A</v>
      </c>
      <c r="AG558" s="306">
        <f t="shared" ca="1" si="259"/>
        <v>2.3463283869732914</v>
      </c>
      <c r="AH558" s="304">
        <f t="shared" ca="1" si="260"/>
        <v>-7.41609475671489</v>
      </c>
    </row>
    <row r="559" spans="1:34" x14ac:dyDescent="0.2">
      <c r="A559" s="347">
        <f t="shared" ca="1" si="238"/>
        <v>1E-4</v>
      </c>
      <c r="B559" s="304">
        <f t="shared" ca="1" si="239"/>
        <v>33.603900000000337</v>
      </c>
      <c r="D559" s="306">
        <f t="shared" ca="1" si="240"/>
        <v>-0.72949972650640793</v>
      </c>
      <c r="E559" s="307">
        <f t="shared" ca="1" si="241"/>
        <v>-2.4298339524191892</v>
      </c>
      <c r="F559" s="304">
        <f t="shared" ca="1" si="242"/>
        <v>2.5369790868869972</v>
      </c>
      <c r="G559" s="306">
        <f t="shared" ca="1" si="243"/>
        <v>11.892058842190824</v>
      </c>
      <c r="H559" s="307">
        <f t="shared" ca="1" si="244"/>
        <v>-120.30996222920541</v>
      </c>
      <c r="I559" s="304">
        <f t="shared" ca="1" si="245"/>
        <v>120.89626989737509</v>
      </c>
      <c r="J559" s="306">
        <f t="shared" ca="1" si="246"/>
        <v>755.70453742140728</v>
      </c>
      <c r="K559" s="307">
        <f t="shared" ca="1" si="247"/>
        <v>-2.8495521153244652</v>
      </c>
      <c r="L559" s="304">
        <f t="shared" ca="1" si="232"/>
        <v>755.70990983747265</v>
      </c>
      <c r="M559" s="306">
        <f t="shared" ca="1" si="248"/>
        <v>-1.4722711991716544</v>
      </c>
      <c r="N559" s="304">
        <f t="shared" ca="1" si="249"/>
        <v>-84.354926011200419</v>
      </c>
      <c r="P559" s="310">
        <f t="shared" ca="1" si="250"/>
        <v>23</v>
      </c>
      <c r="Q559" s="304">
        <f t="shared" ca="1" si="251"/>
        <v>0</v>
      </c>
      <c r="R559" s="306">
        <f t="shared" ca="1" si="252"/>
        <v>0</v>
      </c>
      <c r="S559" s="307">
        <f t="shared" ca="1" si="253"/>
        <v>7.9769999999999968</v>
      </c>
      <c r="T559" s="304">
        <f t="shared" ca="1" si="233"/>
        <v>78.254369999999966</v>
      </c>
      <c r="U559" s="311">
        <f t="shared" ca="1" si="234"/>
        <v>0</v>
      </c>
      <c r="V559" s="306">
        <f t="shared" ca="1" si="235"/>
        <v>1.2253491198758912</v>
      </c>
      <c r="W559" s="304">
        <f t="shared" ca="1" si="236"/>
        <v>59.158789472500601</v>
      </c>
      <c r="Y559" s="314" t="str">
        <f t="shared" ca="1" si="254"/>
        <v/>
      </c>
      <c r="Z559" s="315" t="str">
        <f t="shared" ca="1" si="255"/>
        <v/>
      </c>
      <c r="AA559" s="316" t="str">
        <f t="shared" ca="1" si="256"/>
        <v/>
      </c>
      <c r="AC559" s="310" t="e">
        <f t="shared" ca="1" si="257"/>
        <v>#N/A</v>
      </c>
      <c r="AD559" s="323" t="e">
        <f t="shared" ca="1" si="258"/>
        <v>#N/A</v>
      </c>
      <c r="AE559" s="324" t="e">
        <f t="shared" ca="1" si="237"/>
        <v>#N/A</v>
      </c>
      <c r="AG559" s="306">
        <f t="shared" ca="1" si="259"/>
        <v>2.3462914487664737</v>
      </c>
      <c r="AH559" s="304">
        <f t="shared" ca="1" si="260"/>
        <v>-7.4161324651625193</v>
      </c>
    </row>
    <row r="560" spans="1:34" x14ac:dyDescent="0.2">
      <c r="A560" s="347">
        <f t="shared" ca="1" si="238"/>
        <v>1E-4</v>
      </c>
      <c r="B560" s="304">
        <f t="shared" ca="1" si="239"/>
        <v>33.60400000000034</v>
      </c>
      <c r="D560" s="306">
        <f t="shared" ca="1" si="240"/>
        <v>-0.72949754495798502</v>
      </c>
      <c r="E560" s="307">
        <f t="shared" ca="1" si="241"/>
        <v>-2.4297958448694867</v>
      </c>
      <c r="F560" s="304">
        <f t="shared" ca="1" si="242"/>
        <v>2.5369419614655655</v>
      </c>
      <c r="G560" s="306">
        <f t="shared" ca="1" si="243"/>
        <v>11.891985892436328</v>
      </c>
      <c r="H560" s="307">
        <f t="shared" ca="1" si="244"/>
        <v>-120.3102052087899</v>
      </c>
      <c r="I560" s="304">
        <f t="shared" ca="1" si="245"/>
        <v>120.89650452286469</v>
      </c>
      <c r="J560" s="306">
        <f t="shared" ca="1" si="246"/>
        <v>755.70453742140728</v>
      </c>
      <c r="K560" s="307">
        <f t="shared" ca="1" si="247"/>
        <v>-2.8615831236963651</v>
      </c>
      <c r="L560" s="304">
        <f t="shared" ca="1" si="232"/>
        <v>755.70995529851064</v>
      </c>
      <c r="M560" s="306">
        <f t="shared" ca="1" si="248"/>
        <v>-1.4722719973490255</v>
      </c>
      <c r="N560" s="304">
        <f t="shared" ca="1" si="249"/>
        <v>-84.354971743395083</v>
      </c>
      <c r="P560" s="310">
        <f t="shared" ca="1" si="250"/>
        <v>23</v>
      </c>
      <c r="Q560" s="304">
        <f t="shared" ca="1" si="251"/>
        <v>0</v>
      </c>
      <c r="R560" s="306">
        <f t="shared" ca="1" si="252"/>
        <v>0</v>
      </c>
      <c r="S560" s="307">
        <f t="shared" ca="1" si="253"/>
        <v>7.9769999999999968</v>
      </c>
      <c r="T560" s="304">
        <f t="shared" ca="1" si="233"/>
        <v>78.254369999999966</v>
      </c>
      <c r="U560" s="311">
        <f t="shared" ca="1" si="234"/>
        <v>0</v>
      </c>
      <c r="V560" s="306">
        <f t="shared" ca="1" si="235"/>
        <v>1.2253505940953604</v>
      </c>
      <c r="W560" s="304">
        <f t="shared" ca="1" si="236"/>
        <v>59.159090268012406</v>
      </c>
      <c r="Y560" s="314" t="str">
        <f t="shared" ca="1" si="254"/>
        <v/>
      </c>
      <c r="Z560" s="315" t="str">
        <f t="shared" ca="1" si="255"/>
        <v/>
      </c>
      <c r="AA560" s="316" t="str">
        <f t="shared" ca="1" si="256"/>
        <v/>
      </c>
      <c r="AC560" s="310" t="e">
        <f t="shared" ca="1" si="257"/>
        <v>#N/A</v>
      </c>
      <c r="AD560" s="323" t="e">
        <f t="shared" ca="1" si="258"/>
        <v>#N/A</v>
      </c>
      <c r="AE560" s="324" t="e">
        <f t="shared" ca="1" si="237"/>
        <v>#N/A</v>
      </c>
      <c r="AG560" s="306">
        <f t="shared" ca="1" si="259"/>
        <v>2.3462545108450259</v>
      </c>
      <c r="AH560" s="304">
        <f t="shared" ca="1" si="260"/>
        <v>-7.4161701733108467</v>
      </c>
    </row>
    <row r="561" spans="1:34" x14ac:dyDescent="0.2">
      <c r="A561" s="347">
        <f t="shared" ca="1" si="238"/>
        <v>1E-4</v>
      </c>
      <c r="B561" s="304">
        <f t="shared" ca="1" si="239"/>
        <v>33.604100000000344</v>
      </c>
      <c r="D561" s="306">
        <f t="shared" ca="1" si="240"/>
        <v>-0.72949536337875509</v>
      </c>
      <c r="E561" s="307">
        <f t="shared" ca="1" si="241"/>
        <v>-2.4297577376222312</v>
      </c>
      <c r="F561" s="304">
        <f t="shared" ca="1" si="242"/>
        <v>2.5369048363559492</v>
      </c>
      <c r="G561" s="306">
        <f t="shared" ca="1" si="243"/>
        <v>11.891912942899989</v>
      </c>
      <c r="H561" s="307">
        <f t="shared" ca="1" si="244"/>
        <v>-120.31044818456365</v>
      </c>
      <c r="I561" s="304">
        <f t="shared" ca="1" si="245"/>
        <v>120.8967391446605</v>
      </c>
      <c r="J561" s="306">
        <f t="shared" ca="1" si="246"/>
        <v>755.70453742140728</v>
      </c>
      <c r="K561" s="307">
        <f t="shared" ca="1" si="247"/>
        <v>-2.8736141563660329</v>
      </c>
      <c r="L561" s="304">
        <f t="shared" ca="1" si="232"/>
        <v>755.71000095117358</v>
      </c>
      <c r="M561" s="306">
        <f t="shared" ca="1" si="248"/>
        <v>-1.4722727955184023</v>
      </c>
      <c r="N561" s="304">
        <f t="shared" ca="1" si="249"/>
        <v>-84.355017475131717</v>
      </c>
      <c r="P561" s="310">
        <f t="shared" ca="1" si="250"/>
        <v>23</v>
      </c>
      <c r="Q561" s="304">
        <f t="shared" ca="1" si="251"/>
        <v>0</v>
      </c>
      <c r="R561" s="306">
        <f t="shared" ca="1" si="252"/>
        <v>0</v>
      </c>
      <c r="S561" s="307">
        <f t="shared" ca="1" si="253"/>
        <v>7.9769999999999968</v>
      </c>
      <c r="T561" s="304">
        <f t="shared" ca="1" si="233"/>
        <v>78.254369999999966</v>
      </c>
      <c r="U561" s="311">
        <f t="shared" ca="1" si="234"/>
        <v>0</v>
      </c>
      <c r="V561" s="306">
        <f t="shared" ca="1" si="235"/>
        <v>1.2253520683195807</v>
      </c>
      <c r="W561" s="304">
        <f t="shared" ca="1" si="236"/>
        <v>59.159391061136709</v>
      </c>
      <c r="Y561" s="314" t="str">
        <f t="shared" ca="1" si="254"/>
        <v/>
      </c>
      <c r="Z561" s="315" t="str">
        <f t="shared" ca="1" si="255"/>
        <v/>
      </c>
      <c r="AA561" s="316" t="str">
        <f t="shared" ca="1" si="256"/>
        <v/>
      </c>
      <c r="AC561" s="310" t="e">
        <f t="shared" ca="1" si="257"/>
        <v>#N/A</v>
      </c>
      <c r="AD561" s="323" t="e">
        <f t="shared" ca="1" si="258"/>
        <v>#N/A</v>
      </c>
      <c r="AE561" s="324" t="e">
        <f t="shared" ca="1" si="237"/>
        <v>#N/A</v>
      </c>
      <c r="AG561" s="306">
        <f t="shared" ca="1" si="259"/>
        <v>2.3462175732089268</v>
      </c>
      <c r="AH561" s="304">
        <f t="shared" ca="1" si="260"/>
        <v>-7.4162078811598882</v>
      </c>
    </row>
    <row r="562" spans="1:34" x14ac:dyDescent="0.2">
      <c r="A562" s="347">
        <f t="shared" ca="1" si="238"/>
        <v>1E-4</v>
      </c>
      <c r="B562" s="304">
        <f t="shared" ca="1" si="239"/>
        <v>33.604200000000347</v>
      </c>
      <c r="D562" s="306">
        <f t="shared" ca="1" si="240"/>
        <v>-0.72949318176871691</v>
      </c>
      <c r="E562" s="307">
        <f t="shared" ca="1" si="241"/>
        <v>-2.4297196306774342</v>
      </c>
      <c r="F562" s="304">
        <f t="shared" ca="1" si="242"/>
        <v>2.5368677115581595</v>
      </c>
      <c r="G562" s="306">
        <f t="shared" ca="1" si="243"/>
        <v>11.891839993581812</v>
      </c>
      <c r="H562" s="307">
        <f t="shared" ca="1" si="244"/>
        <v>-120.31069115652672</v>
      </c>
      <c r="I562" s="304">
        <f t="shared" ca="1" si="245"/>
        <v>120.8969737627626</v>
      </c>
      <c r="J562" s="306">
        <f t="shared" ca="1" si="246"/>
        <v>755.70453742140728</v>
      </c>
      <c r="K562" s="307">
        <f t="shared" ca="1" si="247"/>
        <v>-2.8856452133330874</v>
      </c>
      <c r="L562" s="304">
        <f t="shared" ca="1" si="232"/>
        <v>755.71004679546263</v>
      </c>
      <c r="M562" s="306">
        <f t="shared" ca="1" si="248"/>
        <v>-1.4722735936797848</v>
      </c>
      <c r="N562" s="304">
        <f t="shared" ca="1" si="249"/>
        <v>-84.355063206410307</v>
      </c>
      <c r="P562" s="310">
        <f t="shared" ca="1" si="250"/>
        <v>23</v>
      </c>
      <c r="Q562" s="304">
        <f t="shared" ca="1" si="251"/>
        <v>0</v>
      </c>
      <c r="R562" s="306">
        <f t="shared" ca="1" si="252"/>
        <v>0</v>
      </c>
      <c r="S562" s="307">
        <f t="shared" ca="1" si="253"/>
        <v>7.9769999999999968</v>
      </c>
      <c r="T562" s="304">
        <f t="shared" ca="1" si="233"/>
        <v>78.254369999999966</v>
      </c>
      <c r="U562" s="311">
        <f t="shared" ca="1" si="234"/>
        <v>0</v>
      </c>
      <c r="V562" s="306">
        <f t="shared" ca="1" si="235"/>
        <v>1.2253535425485516</v>
      </c>
      <c r="W562" s="304">
        <f t="shared" ca="1" si="236"/>
        <v>59.159691851873532</v>
      </c>
      <c r="Y562" s="314" t="str">
        <f t="shared" ca="1" si="254"/>
        <v/>
      </c>
      <c r="Z562" s="315" t="str">
        <f t="shared" ca="1" si="255"/>
        <v/>
      </c>
      <c r="AA562" s="316" t="str">
        <f t="shared" ca="1" si="256"/>
        <v/>
      </c>
      <c r="AC562" s="310" t="e">
        <f t="shared" ca="1" si="257"/>
        <v>#N/A</v>
      </c>
      <c r="AD562" s="323" t="e">
        <f t="shared" ca="1" si="258"/>
        <v>#N/A</v>
      </c>
      <c r="AE562" s="324" t="e">
        <f t="shared" ca="1" si="237"/>
        <v>#N/A</v>
      </c>
      <c r="AG562" s="306">
        <f t="shared" ca="1" si="259"/>
        <v>2.3461806358581949</v>
      </c>
      <c r="AH562" s="304">
        <f t="shared" ca="1" si="260"/>
        <v>-7.4162455887096321</v>
      </c>
    </row>
    <row r="563" spans="1:34" x14ac:dyDescent="0.2">
      <c r="A563" s="347">
        <f t="shared" ca="1" si="238"/>
        <v>1E-4</v>
      </c>
      <c r="B563" s="304">
        <f t="shared" ca="1" si="239"/>
        <v>33.60430000000035</v>
      </c>
      <c r="D563" s="306">
        <f t="shared" ca="1" si="240"/>
        <v>-0.72949100012787249</v>
      </c>
      <c r="E563" s="307">
        <f t="shared" ca="1" si="241"/>
        <v>-2.4296815240350949</v>
      </c>
      <c r="F563" s="304">
        <f t="shared" ca="1" si="242"/>
        <v>2.5368305870721963</v>
      </c>
      <c r="G563" s="306">
        <f t="shared" ca="1" si="243"/>
        <v>11.891767044481799</v>
      </c>
      <c r="H563" s="307">
        <f t="shared" ca="1" si="244"/>
        <v>-120.31093412467912</v>
      </c>
      <c r="I563" s="304">
        <f t="shared" ca="1" si="245"/>
        <v>120.89720837717098</v>
      </c>
      <c r="J563" s="306">
        <f t="shared" ca="1" si="246"/>
        <v>755.70453742140728</v>
      </c>
      <c r="K563" s="307">
        <f t="shared" ca="1" si="247"/>
        <v>-2.8976762945971477</v>
      </c>
      <c r="L563" s="304">
        <f t="shared" ca="1" si="232"/>
        <v>755.71009283137903</v>
      </c>
      <c r="M563" s="306">
        <f t="shared" ca="1" si="248"/>
        <v>-1.4722743918331735</v>
      </c>
      <c r="N563" s="304">
        <f t="shared" ca="1" si="249"/>
        <v>-84.355108937230881</v>
      </c>
      <c r="P563" s="310">
        <f t="shared" ca="1" si="250"/>
        <v>23</v>
      </c>
      <c r="Q563" s="304">
        <f t="shared" ca="1" si="251"/>
        <v>0</v>
      </c>
      <c r="R563" s="306">
        <f t="shared" ca="1" si="252"/>
        <v>0</v>
      </c>
      <c r="S563" s="307">
        <f t="shared" ca="1" si="253"/>
        <v>7.9769999999999968</v>
      </c>
      <c r="T563" s="304">
        <f t="shared" ca="1" si="233"/>
        <v>78.254369999999966</v>
      </c>
      <c r="U563" s="311">
        <f t="shared" ca="1" si="234"/>
        <v>0</v>
      </c>
      <c r="V563" s="306">
        <f t="shared" ca="1" si="235"/>
        <v>1.225355016782274</v>
      </c>
      <c r="W563" s="304">
        <f t="shared" ca="1" si="236"/>
        <v>59.159992640222896</v>
      </c>
      <c r="Y563" s="314" t="str">
        <f t="shared" ca="1" si="254"/>
        <v/>
      </c>
      <c r="Z563" s="315" t="str">
        <f t="shared" ca="1" si="255"/>
        <v/>
      </c>
      <c r="AA563" s="316" t="str">
        <f t="shared" ca="1" si="256"/>
        <v/>
      </c>
      <c r="AC563" s="310" t="e">
        <f t="shared" ca="1" si="257"/>
        <v>#N/A</v>
      </c>
      <c r="AD563" s="323" t="e">
        <f t="shared" ca="1" si="258"/>
        <v>#N/A</v>
      </c>
      <c r="AE563" s="324" t="e">
        <f t="shared" ca="1" si="237"/>
        <v>#N/A</v>
      </c>
      <c r="AG563" s="306">
        <f t="shared" ca="1" si="259"/>
        <v>2.3461436987928241</v>
      </c>
      <c r="AH563" s="304">
        <f t="shared" ca="1" si="260"/>
        <v>-7.4162832959600795</v>
      </c>
    </row>
    <row r="564" spans="1:34" x14ac:dyDescent="0.2">
      <c r="A564" s="347">
        <f t="shared" ca="1" si="238"/>
        <v>1E-4</v>
      </c>
      <c r="B564" s="304">
        <f t="shared" ca="1" si="239"/>
        <v>33.604400000000354</v>
      </c>
      <c r="D564" s="306">
        <f t="shared" ca="1" si="240"/>
        <v>-0.72948881845622038</v>
      </c>
      <c r="E564" s="307">
        <f t="shared" ca="1" si="241"/>
        <v>-2.4296434176952095</v>
      </c>
      <c r="F564" s="304">
        <f t="shared" ca="1" si="242"/>
        <v>2.5367934628980562</v>
      </c>
      <c r="G564" s="306">
        <f t="shared" ca="1" si="243"/>
        <v>11.891694095599954</v>
      </c>
      <c r="H564" s="307">
        <f t="shared" ca="1" si="244"/>
        <v>-120.31117708902089</v>
      </c>
      <c r="I564" s="304">
        <f t="shared" ca="1" si="245"/>
        <v>120.89744298788568</v>
      </c>
      <c r="J564" s="306">
        <f t="shared" ca="1" si="246"/>
        <v>755.70453742140728</v>
      </c>
      <c r="K564" s="307">
        <f t="shared" ca="1" si="247"/>
        <v>-2.9097074001578327</v>
      </c>
      <c r="L564" s="304">
        <f t="shared" ca="1" si="232"/>
        <v>755.71013905892357</v>
      </c>
      <c r="M564" s="306">
        <f t="shared" ca="1" si="248"/>
        <v>-1.472275189978568</v>
      </c>
      <c r="N564" s="304">
        <f t="shared" ca="1" si="249"/>
        <v>-84.355154667593425</v>
      </c>
      <c r="P564" s="310">
        <f t="shared" ca="1" si="250"/>
        <v>23</v>
      </c>
      <c r="Q564" s="304">
        <f t="shared" ca="1" si="251"/>
        <v>0</v>
      </c>
      <c r="R564" s="306">
        <f t="shared" ca="1" si="252"/>
        <v>0</v>
      </c>
      <c r="S564" s="307">
        <f t="shared" ca="1" si="253"/>
        <v>7.9769999999999968</v>
      </c>
      <c r="T564" s="304">
        <f t="shared" ca="1" si="233"/>
        <v>78.254369999999966</v>
      </c>
      <c r="U564" s="311">
        <f t="shared" ca="1" si="234"/>
        <v>0</v>
      </c>
      <c r="V564" s="306">
        <f t="shared" ca="1" si="235"/>
        <v>1.2253564910207475</v>
      </c>
      <c r="W564" s="304">
        <f t="shared" ca="1" si="236"/>
        <v>59.160293426184772</v>
      </c>
      <c r="Y564" s="314" t="str">
        <f t="shared" ca="1" si="254"/>
        <v/>
      </c>
      <c r="Z564" s="315" t="str">
        <f t="shared" ca="1" si="255"/>
        <v/>
      </c>
      <c r="AA564" s="316" t="str">
        <f t="shared" ca="1" si="256"/>
        <v/>
      </c>
      <c r="AC564" s="310" t="e">
        <f t="shared" ca="1" si="257"/>
        <v>#N/A</v>
      </c>
      <c r="AD564" s="323" t="e">
        <f t="shared" ca="1" si="258"/>
        <v>#N/A</v>
      </c>
      <c r="AE564" s="324" t="e">
        <f t="shared" ca="1" si="237"/>
        <v>#N/A</v>
      </c>
      <c r="AG564" s="306">
        <f t="shared" ca="1" si="259"/>
        <v>2.3461067620128135</v>
      </c>
      <c r="AH564" s="304">
        <f t="shared" ca="1" si="260"/>
        <v>-7.4163210029112347</v>
      </c>
    </row>
    <row r="565" spans="1:34" x14ac:dyDescent="0.2">
      <c r="A565" s="347">
        <f t="shared" ca="1" si="238"/>
        <v>1E-4</v>
      </c>
      <c r="B565" s="304">
        <f t="shared" ca="1" si="239"/>
        <v>33.604500000000357</v>
      </c>
      <c r="D565" s="306">
        <f t="shared" ca="1" si="240"/>
        <v>-0.72948663675376513</v>
      </c>
      <c r="E565" s="307">
        <f t="shared" ca="1" si="241"/>
        <v>-2.4296053116577818</v>
      </c>
      <c r="F565" s="304">
        <f t="shared" ca="1" si="242"/>
        <v>2.5367563390357435</v>
      </c>
      <c r="G565" s="306">
        <f t="shared" ca="1" si="243"/>
        <v>11.891621146936279</v>
      </c>
      <c r="H565" s="307">
        <f t="shared" ca="1" si="244"/>
        <v>-120.31142004955205</v>
      </c>
      <c r="I565" s="304">
        <f t="shared" ca="1" si="245"/>
        <v>120.89767759490675</v>
      </c>
      <c r="J565" s="306">
        <f t="shared" ca="1" si="246"/>
        <v>755.70453742140728</v>
      </c>
      <c r="K565" s="307">
        <f t="shared" ca="1" si="247"/>
        <v>-2.9217385300147614</v>
      </c>
      <c r="L565" s="304">
        <f t="shared" ca="1" si="232"/>
        <v>755.71018547809774</v>
      </c>
      <c r="M565" s="306">
        <f t="shared" ca="1" si="248"/>
        <v>-1.4722759881159688</v>
      </c>
      <c r="N565" s="304">
        <f t="shared" ca="1" si="249"/>
        <v>-84.355200397497967</v>
      </c>
      <c r="P565" s="310">
        <f t="shared" ca="1" si="250"/>
        <v>23</v>
      </c>
      <c r="Q565" s="304">
        <f t="shared" ca="1" si="251"/>
        <v>0</v>
      </c>
      <c r="R565" s="306">
        <f t="shared" ca="1" si="252"/>
        <v>0</v>
      </c>
      <c r="S565" s="307">
        <f t="shared" ca="1" si="253"/>
        <v>7.9769999999999968</v>
      </c>
      <c r="T565" s="304">
        <f t="shared" ca="1" si="233"/>
        <v>78.254369999999966</v>
      </c>
      <c r="U565" s="311">
        <f t="shared" ca="1" si="234"/>
        <v>0</v>
      </c>
      <c r="V565" s="306">
        <f t="shared" ca="1" si="235"/>
        <v>1.2253579652639721</v>
      </c>
      <c r="W565" s="304">
        <f t="shared" ca="1" si="236"/>
        <v>59.160594209759203</v>
      </c>
      <c r="Y565" s="314" t="str">
        <f t="shared" ca="1" si="254"/>
        <v/>
      </c>
      <c r="Z565" s="315" t="str">
        <f t="shared" ca="1" si="255"/>
        <v/>
      </c>
      <c r="AA565" s="316" t="str">
        <f t="shared" ca="1" si="256"/>
        <v/>
      </c>
      <c r="AC565" s="310" t="e">
        <f t="shared" ca="1" si="257"/>
        <v>#N/A</v>
      </c>
      <c r="AD565" s="323" t="e">
        <f t="shared" ca="1" si="258"/>
        <v>#N/A</v>
      </c>
      <c r="AE565" s="324" t="e">
        <f t="shared" ca="1" si="237"/>
        <v>#N/A</v>
      </c>
      <c r="AG565" s="306">
        <f t="shared" ca="1" si="259"/>
        <v>2.3460698255181658</v>
      </c>
      <c r="AH565" s="304">
        <f t="shared" ca="1" si="260"/>
        <v>-7.4163587095630934</v>
      </c>
    </row>
    <row r="566" spans="1:34" x14ac:dyDescent="0.2">
      <c r="A566" s="347">
        <f t="shared" ca="1" si="238"/>
        <v>1E-4</v>
      </c>
      <c r="B566" s="304">
        <f t="shared" ca="1" si="239"/>
        <v>33.60460000000036</v>
      </c>
      <c r="D566" s="306">
        <f t="shared" ca="1" si="240"/>
        <v>-0.72948445502050385</v>
      </c>
      <c r="E566" s="307">
        <f t="shared" ca="1" si="241"/>
        <v>-2.4295672059228064</v>
      </c>
      <c r="F566" s="304">
        <f t="shared" ca="1" si="242"/>
        <v>2.5367192154852525</v>
      </c>
      <c r="G566" s="306">
        <f t="shared" ca="1" si="243"/>
        <v>11.891548198490776</v>
      </c>
      <c r="H566" s="307">
        <f t="shared" ca="1" si="244"/>
        <v>-120.31166300627265</v>
      </c>
      <c r="I566" s="304">
        <f t="shared" ca="1" si="245"/>
        <v>120.8979121982342</v>
      </c>
      <c r="J566" s="306">
        <f t="shared" ca="1" si="246"/>
        <v>755.70453742140728</v>
      </c>
      <c r="K566" s="307">
        <f t="shared" ca="1" si="247"/>
        <v>-2.9337696841675527</v>
      </c>
      <c r="L566" s="304">
        <f t="shared" ca="1" si="232"/>
        <v>755.71023208890244</v>
      </c>
      <c r="M566" s="306">
        <f t="shared" ca="1" si="248"/>
        <v>-1.4722767862453761</v>
      </c>
      <c r="N566" s="304">
        <f t="shared" ca="1" si="249"/>
        <v>-84.355246126944493</v>
      </c>
      <c r="P566" s="310">
        <f t="shared" ca="1" si="250"/>
        <v>23</v>
      </c>
      <c r="Q566" s="304">
        <f t="shared" ca="1" si="251"/>
        <v>0</v>
      </c>
      <c r="R566" s="306">
        <f t="shared" ca="1" si="252"/>
        <v>0</v>
      </c>
      <c r="S566" s="307">
        <f t="shared" ca="1" si="253"/>
        <v>7.9769999999999968</v>
      </c>
      <c r="T566" s="304">
        <f t="shared" ca="1" si="233"/>
        <v>78.254369999999966</v>
      </c>
      <c r="U566" s="311">
        <f t="shared" ca="1" si="234"/>
        <v>0</v>
      </c>
      <c r="V566" s="306">
        <f t="shared" ca="1" si="235"/>
        <v>1.2253594395119478</v>
      </c>
      <c r="W566" s="304">
        <f t="shared" ca="1" si="236"/>
        <v>59.160894990946119</v>
      </c>
      <c r="Y566" s="314" t="str">
        <f t="shared" ca="1" si="254"/>
        <v/>
      </c>
      <c r="Z566" s="315" t="str">
        <f t="shared" ca="1" si="255"/>
        <v/>
      </c>
      <c r="AA566" s="316" t="str">
        <f t="shared" ca="1" si="256"/>
        <v/>
      </c>
      <c r="AC566" s="310" t="e">
        <f t="shared" ca="1" si="257"/>
        <v>#N/A</v>
      </c>
      <c r="AD566" s="323" t="e">
        <f t="shared" ca="1" si="258"/>
        <v>#N/A</v>
      </c>
      <c r="AE566" s="324" t="e">
        <f t="shared" ca="1" si="237"/>
        <v>#N/A</v>
      </c>
      <c r="AG566" s="306">
        <f t="shared" ca="1" si="259"/>
        <v>2.3460328893088755</v>
      </c>
      <c r="AH566" s="304">
        <f t="shared" ca="1" si="260"/>
        <v>-7.4163964159156608</v>
      </c>
    </row>
    <row r="567" spans="1:34" x14ac:dyDescent="0.2">
      <c r="A567" s="347">
        <f t="shared" ca="1" si="238"/>
        <v>1E-4</v>
      </c>
      <c r="B567" s="304">
        <f t="shared" ca="1" si="239"/>
        <v>33.604700000000364</v>
      </c>
      <c r="D567" s="306">
        <f t="shared" ca="1" si="240"/>
        <v>-0.72948227325643755</v>
      </c>
      <c r="E567" s="307">
        <f t="shared" ca="1" si="241"/>
        <v>-2.4295291004902912</v>
      </c>
      <c r="F567" s="304">
        <f t="shared" ca="1" si="242"/>
        <v>2.5366820922465911</v>
      </c>
      <c r="G567" s="306">
        <f t="shared" ca="1" si="243"/>
        <v>11.891475250263451</v>
      </c>
      <c r="H567" s="307">
        <f t="shared" ca="1" si="244"/>
        <v>-120.3119059591827</v>
      </c>
      <c r="I567" s="304">
        <f t="shared" ca="1" si="245"/>
        <v>120.89814679786804</v>
      </c>
      <c r="J567" s="306">
        <f t="shared" ca="1" si="246"/>
        <v>755.70453742140728</v>
      </c>
      <c r="K567" s="307">
        <f t="shared" ca="1" si="247"/>
        <v>-2.9458008626158256</v>
      </c>
      <c r="L567" s="304">
        <f t="shared" ca="1" si="232"/>
        <v>755.71027889133904</v>
      </c>
      <c r="M567" s="306">
        <f t="shared" ca="1" si="248"/>
        <v>-1.4722775843667895</v>
      </c>
      <c r="N567" s="304">
        <f t="shared" ca="1" si="249"/>
        <v>-84.355291855933032</v>
      </c>
      <c r="P567" s="310">
        <f t="shared" ca="1" si="250"/>
        <v>23</v>
      </c>
      <c r="Q567" s="304">
        <f t="shared" ca="1" si="251"/>
        <v>0</v>
      </c>
      <c r="R567" s="306">
        <f t="shared" ca="1" si="252"/>
        <v>0</v>
      </c>
      <c r="S567" s="307">
        <f t="shared" ca="1" si="253"/>
        <v>7.9769999999999968</v>
      </c>
      <c r="T567" s="304">
        <f t="shared" ca="1" si="233"/>
        <v>78.254369999999966</v>
      </c>
      <c r="U567" s="311">
        <f t="shared" ca="1" si="234"/>
        <v>0</v>
      </c>
      <c r="V567" s="306">
        <f t="shared" ca="1" si="235"/>
        <v>1.2253609137646746</v>
      </c>
      <c r="W567" s="304">
        <f t="shared" ca="1" si="236"/>
        <v>59.161195769745568</v>
      </c>
      <c r="Y567" s="314" t="str">
        <f t="shared" ca="1" si="254"/>
        <v/>
      </c>
      <c r="Z567" s="315" t="str">
        <f t="shared" ca="1" si="255"/>
        <v/>
      </c>
      <c r="AA567" s="316" t="str">
        <f t="shared" ca="1" si="256"/>
        <v/>
      </c>
      <c r="AC567" s="310" t="e">
        <f t="shared" ca="1" si="257"/>
        <v>#N/A</v>
      </c>
      <c r="AD567" s="323" t="e">
        <f t="shared" ca="1" si="258"/>
        <v>#N/A</v>
      </c>
      <c r="AE567" s="324" t="e">
        <f t="shared" ca="1" si="237"/>
        <v>#N/A</v>
      </c>
      <c r="AG567" s="306">
        <f t="shared" ca="1" si="259"/>
        <v>2.3459959533849544</v>
      </c>
      <c r="AH567" s="304">
        <f t="shared" ca="1" si="260"/>
        <v>-7.4164341219689289</v>
      </c>
    </row>
    <row r="568" spans="1:34" x14ac:dyDescent="0.2">
      <c r="A568" s="347">
        <f t="shared" ca="1" si="238"/>
        <v>1E-4</v>
      </c>
      <c r="B568" s="304">
        <f t="shared" ca="1" si="239"/>
        <v>33.604800000000367</v>
      </c>
      <c r="D568" s="306">
        <f t="shared" ca="1" si="240"/>
        <v>-0.72948009146156989</v>
      </c>
      <c r="E568" s="307">
        <f t="shared" ca="1" si="241"/>
        <v>-2.4294909953602319</v>
      </c>
      <c r="F568" s="304">
        <f t="shared" ca="1" si="242"/>
        <v>2.5366449693197572</v>
      </c>
      <c r="G568" s="306">
        <f t="shared" ca="1" si="243"/>
        <v>11.891402302254305</v>
      </c>
      <c r="H568" s="307">
        <f t="shared" ca="1" si="244"/>
        <v>-120.31214890828223</v>
      </c>
      <c r="I568" s="304">
        <f t="shared" ca="1" si="245"/>
        <v>120.89838139380831</v>
      </c>
      <c r="J568" s="306">
        <f t="shared" ca="1" si="246"/>
        <v>755.70453742140728</v>
      </c>
      <c r="K568" s="307">
        <f t="shared" ca="1" si="247"/>
        <v>-2.9578320653591987</v>
      </c>
      <c r="L568" s="304">
        <f t="shared" ca="1" si="232"/>
        <v>755.71032588540834</v>
      </c>
      <c r="M568" s="306">
        <f t="shared" ca="1" si="248"/>
        <v>-1.4722783824802095</v>
      </c>
      <c r="N568" s="304">
        <f t="shared" ca="1" si="249"/>
        <v>-84.35533758446357</v>
      </c>
      <c r="P568" s="310">
        <f t="shared" ca="1" si="250"/>
        <v>23</v>
      </c>
      <c r="Q568" s="304">
        <f t="shared" ca="1" si="251"/>
        <v>0</v>
      </c>
      <c r="R568" s="306">
        <f t="shared" ca="1" si="252"/>
        <v>0</v>
      </c>
      <c r="S568" s="307">
        <f t="shared" ca="1" si="253"/>
        <v>7.9769999999999968</v>
      </c>
      <c r="T568" s="304">
        <f t="shared" ca="1" si="233"/>
        <v>78.254369999999966</v>
      </c>
      <c r="U568" s="311">
        <f t="shared" ca="1" si="234"/>
        <v>0</v>
      </c>
      <c r="V568" s="306">
        <f t="shared" ca="1" si="235"/>
        <v>1.2253623880221525</v>
      </c>
      <c r="W568" s="304">
        <f t="shared" ca="1" si="236"/>
        <v>59.161496546157508</v>
      </c>
      <c r="Y568" s="314" t="str">
        <f t="shared" ca="1" si="254"/>
        <v/>
      </c>
      <c r="Z568" s="315" t="str">
        <f t="shared" ca="1" si="255"/>
        <v/>
      </c>
      <c r="AA568" s="316" t="str">
        <f t="shared" ca="1" si="256"/>
        <v/>
      </c>
      <c r="AC568" s="310" t="e">
        <f t="shared" ca="1" si="257"/>
        <v>#N/A</v>
      </c>
      <c r="AD568" s="323" t="e">
        <f t="shared" ca="1" si="258"/>
        <v>#N/A</v>
      </c>
      <c r="AE568" s="324" t="e">
        <f t="shared" ca="1" si="237"/>
        <v>#N/A</v>
      </c>
      <c r="AG568" s="306">
        <f t="shared" ca="1" si="259"/>
        <v>2.345959017746396</v>
      </c>
      <c r="AH568" s="304">
        <f t="shared" ca="1" si="260"/>
        <v>-7.4164718277229023</v>
      </c>
    </row>
    <row r="569" spans="1:34" x14ac:dyDescent="0.2">
      <c r="A569" s="347">
        <f t="shared" ca="1" si="238"/>
        <v>1E-4</v>
      </c>
      <c r="B569" s="304">
        <f t="shared" ca="1" si="239"/>
        <v>33.60490000000037</v>
      </c>
      <c r="D569" s="306">
        <f t="shared" ca="1" si="240"/>
        <v>-0.72947790963589876</v>
      </c>
      <c r="E569" s="307">
        <f t="shared" ca="1" si="241"/>
        <v>-2.429452890532632</v>
      </c>
      <c r="F569" s="304">
        <f t="shared" ca="1" si="242"/>
        <v>2.5366078467047526</v>
      </c>
      <c r="G569" s="306">
        <f t="shared" ca="1" si="243"/>
        <v>11.891329354463341</v>
      </c>
      <c r="H569" s="307">
        <f t="shared" ca="1" si="244"/>
        <v>-120.31239185357128</v>
      </c>
      <c r="I569" s="304">
        <f t="shared" ca="1" si="245"/>
        <v>120.89861598605506</v>
      </c>
      <c r="J569" s="306">
        <f t="shared" ca="1" si="246"/>
        <v>755.70453742140728</v>
      </c>
      <c r="K569" s="307">
        <f t="shared" ca="1" si="247"/>
        <v>-2.9698632923972914</v>
      </c>
      <c r="L569" s="304">
        <f t="shared" ca="1" si="232"/>
        <v>755.71037307111158</v>
      </c>
      <c r="M569" s="306">
        <f t="shared" ca="1" si="248"/>
        <v>-1.4722791805856363</v>
      </c>
      <c r="N569" s="304">
        <f t="shared" ca="1" si="249"/>
        <v>-84.355383312536134</v>
      </c>
      <c r="P569" s="310">
        <f t="shared" ca="1" si="250"/>
        <v>23</v>
      </c>
      <c r="Q569" s="304">
        <f t="shared" ca="1" si="251"/>
        <v>0</v>
      </c>
      <c r="R569" s="306">
        <f t="shared" ca="1" si="252"/>
        <v>0</v>
      </c>
      <c r="S569" s="307">
        <f t="shared" ca="1" si="253"/>
        <v>7.9769999999999968</v>
      </c>
      <c r="T569" s="304">
        <f t="shared" ca="1" si="233"/>
        <v>78.254369999999966</v>
      </c>
      <c r="U569" s="311">
        <f t="shared" ca="1" si="234"/>
        <v>0</v>
      </c>
      <c r="V569" s="306">
        <f t="shared" ca="1" si="235"/>
        <v>1.2253638622843808</v>
      </c>
      <c r="W569" s="304">
        <f t="shared" ca="1" si="236"/>
        <v>59.161797320181947</v>
      </c>
      <c r="Y569" s="314" t="str">
        <f t="shared" ca="1" si="254"/>
        <v/>
      </c>
      <c r="Z569" s="315" t="str">
        <f t="shared" ca="1" si="255"/>
        <v/>
      </c>
      <c r="AA569" s="316" t="str">
        <f t="shared" ca="1" si="256"/>
        <v/>
      </c>
      <c r="AC569" s="310" t="e">
        <f t="shared" ca="1" si="257"/>
        <v>#N/A</v>
      </c>
      <c r="AD569" s="323" t="e">
        <f t="shared" ca="1" si="258"/>
        <v>#N/A</v>
      </c>
      <c r="AE569" s="324" t="e">
        <f t="shared" ca="1" si="237"/>
        <v>#N/A</v>
      </c>
      <c r="AG569" s="306">
        <f t="shared" ca="1" si="259"/>
        <v>2.3459220823932041</v>
      </c>
      <c r="AH569" s="304">
        <f t="shared" ca="1" si="260"/>
        <v>-7.4165095331775772</v>
      </c>
    </row>
    <row r="570" spans="1:34" x14ac:dyDescent="0.2">
      <c r="A570" s="347">
        <f t="shared" ca="1" si="238"/>
        <v>1E-4</v>
      </c>
      <c r="B570" s="304">
        <f t="shared" ca="1" si="239"/>
        <v>33.605000000000373</v>
      </c>
      <c r="D570" s="306">
        <f t="shared" ca="1" si="240"/>
        <v>-0.72947572777942415</v>
      </c>
      <c r="E570" s="307">
        <f t="shared" ca="1" si="241"/>
        <v>-2.4294147860074915</v>
      </c>
      <c r="F570" s="304">
        <f t="shared" ca="1" si="242"/>
        <v>2.536570724401578</v>
      </c>
      <c r="G570" s="306">
        <f t="shared" ca="1" si="243"/>
        <v>11.891256406890562</v>
      </c>
      <c r="H570" s="307">
        <f t="shared" ca="1" si="244"/>
        <v>-120.31263479504989</v>
      </c>
      <c r="I570" s="304">
        <f t="shared" ca="1" si="245"/>
        <v>120.8988505746083</v>
      </c>
      <c r="J570" s="306">
        <f t="shared" ca="1" si="246"/>
        <v>755.70453742140728</v>
      </c>
      <c r="K570" s="307">
        <f t="shared" ca="1" si="247"/>
        <v>-2.9818945437297226</v>
      </c>
      <c r="L570" s="304">
        <f t="shared" ca="1" si="232"/>
        <v>755.71042044845001</v>
      </c>
      <c r="M570" s="306">
        <f t="shared" ca="1" si="248"/>
        <v>-1.4722799786830698</v>
      </c>
      <c r="N570" s="304">
        <f t="shared" ca="1" si="249"/>
        <v>-84.35542904015071</v>
      </c>
      <c r="P570" s="310">
        <f t="shared" ca="1" si="250"/>
        <v>23</v>
      </c>
      <c r="Q570" s="304">
        <f t="shared" ca="1" si="251"/>
        <v>0</v>
      </c>
      <c r="R570" s="306">
        <f t="shared" ca="1" si="252"/>
        <v>0</v>
      </c>
      <c r="S570" s="307">
        <f t="shared" ca="1" si="253"/>
        <v>7.9769999999999968</v>
      </c>
      <c r="T570" s="304">
        <f t="shared" ca="1" si="233"/>
        <v>78.254369999999966</v>
      </c>
      <c r="U570" s="311">
        <f t="shared" ca="1" si="234"/>
        <v>0</v>
      </c>
      <c r="V570" s="306">
        <f t="shared" ca="1" si="235"/>
        <v>1.2253653365513604</v>
      </c>
      <c r="W570" s="304">
        <f t="shared" ca="1" si="236"/>
        <v>59.162098091818891</v>
      </c>
      <c r="Y570" s="314" t="str">
        <f t="shared" ca="1" si="254"/>
        <v/>
      </c>
      <c r="Z570" s="315" t="str">
        <f t="shared" ca="1" si="255"/>
        <v/>
      </c>
      <c r="AA570" s="316" t="str">
        <f t="shared" ca="1" si="256"/>
        <v/>
      </c>
      <c r="AC570" s="310" t="e">
        <f t="shared" ca="1" si="257"/>
        <v>#N/A</v>
      </c>
      <c r="AD570" s="323" t="e">
        <f t="shared" ca="1" si="258"/>
        <v>#N/A</v>
      </c>
      <c r="AE570" s="324" t="e">
        <f t="shared" ca="1" si="237"/>
        <v>#N/A</v>
      </c>
      <c r="AG570" s="306">
        <f t="shared" ca="1" si="259"/>
        <v>2.3458851473253803</v>
      </c>
      <c r="AH570" s="304">
        <f t="shared" ca="1" si="260"/>
        <v>-7.4165472383329538</v>
      </c>
    </row>
    <row r="571" spans="1:34" x14ac:dyDescent="0.2">
      <c r="A571" s="347">
        <f t="shared" ca="1" si="238"/>
        <v>1E-4</v>
      </c>
      <c r="B571" s="304">
        <f t="shared" ca="1" si="239"/>
        <v>33.605100000000377</v>
      </c>
      <c r="D571" s="306">
        <f t="shared" ca="1" si="240"/>
        <v>-0.72947354589214952</v>
      </c>
      <c r="E571" s="307">
        <f t="shared" ca="1" si="241"/>
        <v>-2.4293766817848095</v>
      </c>
      <c r="F571" s="304">
        <f t="shared" ca="1" si="242"/>
        <v>2.5365336024102336</v>
      </c>
      <c r="G571" s="306">
        <f t="shared" ca="1" si="243"/>
        <v>11.891183459535974</v>
      </c>
      <c r="H571" s="307">
        <f t="shared" ca="1" si="244"/>
        <v>-120.31287773271806</v>
      </c>
      <c r="I571" s="304">
        <f t="shared" ca="1" si="245"/>
        <v>120.89908515946804</v>
      </c>
      <c r="J571" s="306">
        <f t="shared" ca="1" si="246"/>
        <v>755.70453742140728</v>
      </c>
      <c r="K571" s="307">
        <f t="shared" ca="1" si="247"/>
        <v>-2.9939258193561109</v>
      </c>
      <c r="L571" s="304">
        <f t="shared" ca="1" si="232"/>
        <v>755.71046801742466</v>
      </c>
      <c r="M571" s="306">
        <f t="shared" ca="1" si="248"/>
        <v>-1.4722807767725101</v>
      </c>
      <c r="N571" s="304">
        <f t="shared" ca="1" si="249"/>
        <v>-84.355474767307314</v>
      </c>
      <c r="P571" s="310">
        <f t="shared" ca="1" si="250"/>
        <v>23</v>
      </c>
      <c r="Q571" s="304">
        <f t="shared" ca="1" si="251"/>
        <v>0</v>
      </c>
      <c r="R571" s="306">
        <f t="shared" ca="1" si="252"/>
        <v>0</v>
      </c>
      <c r="S571" s="307">
        <f t="shared" ca="1" si="253"/>
        <v>7.9769999999999968</v>
      </c>
      <c r="T571" s="304">
        <f t="shared" ca="1" si="233"/>
        <v>78.254369999999966</v>
      </c>
      <c r="U571" s="311">
        <f t="shared" ca="1" si="234"/>
        <v>0</v>
      </c>
      <c r="V571" s="306">
        <f t="shared" ca="1" si="235"/>
        <v>1.2253668108230908</v>
      </c>
      <c r="W571" s="304">
        <f t="shared" ca="1" si="236"/>
        <v>59.162398861068326</v>
      </c>
      <c r="Y571" s="314" t="str">
        <f t="shared" ca="1" si="254"/>
        <v/>
      </c>
      <c r="Z571" s="315" t="str">
        <f t="shared" ca="1" si="255"/>
        <v/>
      </c>
      <c r="AA571" s="316" t="str">
        <f t="shared" ca="1" si="256"/>
        <v/>
      </c>
      <c r="AC571" s="310" t="e">
        <f t="shared" ca="1" si="257"/>
        <v>#N/A</v>
      </c>
      <c r="AD571" s="323" t="e">
        <f t="shared" ca="1" si="258"/>
        <v>#N/A</v>
      </c>
      <c r="AE571" s="324" t="e">
        <f t="shared" ca="1" si="237"/>
        <v>#N/A</v>
      </c>
      <c r="AG571" s="306">
        <f t="shared" ca="1" si="259"/>
        <v>2.3458482125429221</v>
      </c>
      <c r="AH571" s="304">
        <f t="shared" ca="1" si="260"/>
        <v>-7.4165849431890329</v>
      </c>
    </row>
    <row r="572" spans="1:34" x14ac:dyDescent="0.2">
      <c r="A572" s="347">
        <f t="shared" ca="1" si="238"/>
        <v>1E-4</v>
      </c>
      <c r="B572" s="304">
        <f t="shared" ca="1" si="239"/>
        <v>33.60520000000038</v>
      </c>
      <c r="D572" s="306">
        <f t="shared" ca="1" si="240"/>
        <v>-0.72947136397407464</v>
      </c>
      <c r="E572" s="307">
        <f t="shared" ca="1" si="241"/>
        <v>-2.4293385778645886</v>
      </c>
      <c r="F572" s="304">
        <f t="shared" ca="1" si="242"/>
        <v>2.5364964807307224</v>
      </c>
      <c r="G572" s="306">
        <f t="shared" ca="1" si="243"/>
        <v>11.891110512399576</v>
      </c>
      <c r="H572" s="307">
        <f t="shared" ca="1" si="244"/>
        <v>-120.31312066657586</v>
      </c>
      <c r="I572" s="304">
        <f t="shared" ca="1" si="245"/>
        <v>120.89931974063435</v>
      </c>
      <c r="J572" s="306">
        <f t="shared" ca="1" si="246"/>
        <v>755.70453742140728</v>
      </c>
      <c r="K572" s="307">
        <f t="shared" ca="1" si="247"/>
        <v>-3.0059571192760757</v>
      </c>
      <c r="L572" s="304">
        <f t="shared" ca="1" si="232"/>
        <v>755.71051577803655</v>
      </c>
      <c r="M572" s="306">
        <f t="shared" ca="1" si="248"/>
        <v>-1.4722815748539575</v>
      </c>
      <c r="N572" s="304">
        <f t="shared" ca="1" si="249"/>
        <v>-84.355520494005958</v>
      </c>
      <c r="P572" s="310">
        <f t="shared" ca="1" si="250"/>
        <v>23</v>
      </c>
      <c r="Q572" s="304">
        <f t="shared" ca="1" si="251"/>
        <v>0</v>
      </c>
      <c r="R572" s="306">
        <f t="shared" ca="1" si="252"/>
        <v>0</v>
      </c>
      <c r="S572" s="307">
        <f t="shared" ca="1" si="253"/>
        <v>7.9769999999999968</v>
      </c>
      <c r="T572" s="304">
        <f t="shared" ca="1" si="233"/>
        <v>78.254369999999966</v>
      </c>
      <c r="U572" s="311">
        <f t="shared" ca="1" si="234"/>
        <v>0</v>
      </c>
      <c r="V572" s="306">
        <f t="shared" ca="1" si="235"/>
        <v>1.2253682850995722</v>
      </c>
      <c r="W572" s="304">
        <f t="shared" ca="1" si="236"/>
        <v>59.16269962793028</v>
      </c>
      <c r="Y572" s="314" t="str">
        <f t="shared" ca="1" si="254"/>
        <v/>
      </c>
      <c r="Z572" s="315" t="str">
        <f t="shared" ca="1" si="255"/>
        <v/>
      </c>
      <c r="AA572" s="316" t="str">
        <f t="shared" ca="1" si="256"/>
        <v/>
      </c>
      <c r="AC572" s="310" t="e">
        <f t="shared" ca="1" si="257"/>
        <v>#N/A</v>
      </c>
      <c r="AD572" s="323" t="e">
        <f t="shared" ca="1" si="258"/>
        <v>#N/A</v>
      </c>
      <c r="AE572" s="324" t="e">
        <f t="shared" ca="1" si="237"/>
        <v>#N/A</v>
      </c>
      <c r="AG572" s="306">
        <f t="shared" ca="1" si="259"/>
        <v>2.3458112780458329</v>
      </c>
      <c r="AH572" s="304">
        <f t="shared" ca="1" si="260"/>
        <v>-7.4166226477458128</v>
      </c>
    </row>
    <row r="573" spans="1:34" x14ac:dyDescent="0.2">
      <c r="A573" s="347">
        <f t="shared" ca="1" si="238"/>
        <v>1E-4</v>
      </c>
      <c r="B573" s="304">
        <f t="shared" ca="1" si="239"/>
        <v>33.605300000000383</v>
      </c>
      <c r="D573" s="306">
        <f t="shared" ca="1" si="240"/>
        <v>-0.72946918202519995</v>
      </c>
      <c r="E573" s="307">
        <f t="shared" ca="1" si="241"/>
        <v>-2.4293004742468236</v>
      </c>
      <c r="F573" s="304">
        <f t="shared" ca="1" si="242"/>
        <v>2.5364593593630387</v>
      </c>
      <c r="G573" s="306">
        <f t="shared" ca="1" si="243"/>
        <v>11.891037565481374</v>
      </c>
      <c r="H573" s="307">
        <f t="shared" ca="1" si="244"/>
        <v>-120.31336359662328</v>
      </c>
      <c r="I573" s="304">
        <f t="shared" ca="1" si="245"/>
        <v>120.89955431810725</v>
      </c>
      <c r="J573" s="306">
        <f t="shared" ca="1" si="246"/>
        <v>755.70453742140728</v>
      </c>
      <c r="K573" s="307">
        <f t="shared" ca="1" si="247"/>
        <v>-3.0179884434892355</v>
      </c>
      <c r="L573" s="304">
        <f t="shared" ca="1" si="232"/>
        <v>755.71056373028705</v>
      </c>
      <c r="M573" s="306">
        <f t="shared" ca="1" si="248"/>
        <v>-1.4722823729274122</v>
      </c>
      <c r="N573" s="304">
        <f t="shared" ca="1" si="249"/>
        <v>-84.355566220246644</v>
      </c>
      <c r="P573" s="310">
        <f t="shared" ca="1" si="250"/>
        <v>23</v>
      </c>
      <c r="Q573" s="304">
        <f t="shared" ca="1" si="251"/>
        <v>0</v>
      </c>
      <c r="R573" s="306">
        <f t="shared" ca="1" si="252"/>
        <v>0</v>
      </c>
      <c r="S573" s="307">
        <f t="shared" ca="1" si="253"/>
        <v>7.9769999999999968</v>
      </c>
      <c r="T573" s="304">
        <f t="shared" ca="1" si="233"/>
        <v>78.254369999999966</v>
      </c>
      <c r="U573" s="311">
        <f t="shared" ca="1" si="234"/>
        <v>0</v>
      </c>
      <c r="V573" s="306">
        <f t="shared" ca="1" si="235"/>
        <v>1.2253697593808046</v>
      </c>
      <c r="W573" s="304">
        <f t="shared" ca="1" si="236"/>
        <v>59.163000392404726</v>
      </c>
      <c r="Y573" s="314" t="str">
        <f t="shared" ca="1" si="254"/>
        <v/>
      </c>
      <c r="Z573" s="315" t="str">
        <f t="shared" ca="1" si="255"/>
        <v/>
      </c>
      <c r="AA573" s="316" t="str">
        <f t="shared" ca="1" si="256"/>
        <v/>
      </c>
      <c r="AC573" s="310" t="e">
        <f t="shared" ca="1" si="257"/>
        <v>#N/A</v>
      </c>
      <c r="AD573" s="323" t="e">
        <f t="shared" ca="1" si="258"/>
        <v>#N/A</v>
      </c>
      <c r="AE573" s="324" t="e">
        <f t="shared" ca="1" si="237"/>
        <v>#N/A</v>
      </c>
      <c r="AG573" s="306">
        <f t="shared" ca="1" si="259"/>
        <v>2.3457743438341083</v>
      </c>
      <c r="AH573" s="304">
        <f t="shared" ca="1" si="260"/>
        <v>-7.4166603520032979</v>
      </c>
    </row>
    <row r="574" spans="1:34" x14ac:dyDescent="0.2">
      <c r="A574" s="347">
        <f t="shared" ca="1" si="238"/>
        <v>1E-4</v>
      </c>
      <c r="B574" s="304">
        <f t="shared" ca="1" si="239"/>
        <v>33.605400000000387</v>
      </c>
      <c r="D574" s="306">
        <f t="shared" ca="1" si="240"/>
        <v>-0.72946700004552478</v>
      </c>
      <c r="E574" s="307">
        <f t="shared" ca="1" si="241"/>
        <v>-2.4292623709315198</v>
      </c>
      <c r="F574" s="304">
        <f t="shared" ca="1" si="242"/>
        <v>2.5364222383071882</v>
      </c>
      <c r="G574" s="306">
        <f t="shared" ca="1" si="243"/>
        <v>11.89096461878137</v>
      </c>
      <c r="H574" s="307">
        <f t="shared" ca="1" si="244"/>
        <v>-120.31360652286037</v>
      </c>
      <c r="I574" s="304">
        <f t="shared" ca="1" si="245"/>
        <v>120.89978889188673</v>
      </c>
      <c r="J574" s="306">
        <f t="shared" ca="1" si="246"/>
        <v>755.70453742140728</v>
      </c>
      <c r="K574" s="307">
        <f t="shared" ca="1" si="247"/>
        <v>-3.0300197919952097</v>
      </c>
      <c r="L574" s="304">
        <f t="shared" ca="1" si="232"/>
        <v>755.71061187417695</v>
      </c>
      <c r="M574" s="306">
        <f t="shared" ca="1" si="248"/>
        <v>-1.4722831709928739</v>
      </c>
      <c r="N574" s="304">
        <f t="shared" ca="1" si="249"/>
        <v>-84.355611946029384</v>
      </c>
      <c r="P574" s="310">
        <f t="shared" ca="1" si="250"/>
        <v>23</v>
      </c>
      <c r="Q574" s="304">
        <f t="shared" ca="1" si="251"/>
        <v>0</v>
      </c>
      <c r="R574" s="306">
        <f t="shared" ca="1" si="252"/>
        <v>0</v>
      </c>
      <c r="S574" s="307">
        <f t="shared" ca="1" si="253"/>
        <v>7.9769999999999968</v>
      </c>
      <c r="T574" s="304">
        <f t="shared" ca="1" si="233"/>
        <v>78.254369999999966</v>
      </c>
      <c r="U574" s="311">
        <f t="shared" ca="1" si="234"/>
        <v>0</v>
      </c>
      <c r="V574" s="306">
        <f t="shared" ca="1" si="235"/>
        <v>1.2253712336667877</v>
      </c>
      <c r="W574" s="304">
        <f t="shared" ca="1" si="236"/>
        <v>59.163301154491649</v>
      </c>
      <c r="Y574" s="314" t="str">
        <f t="shared" ca="1" si="254"/>
        <v/>
      </c>
      <c r="Z574" s="315" t="str">
        <f t="shared" ca="1" si="255"/>
        <v/>
      </c>
      <c r="AA574" s="316" t="str">
        <f t="shared" ca="1" si="256"/>
        <v/>
      </c>
      <c r="AC574" s="310" t="e">
        <f t="shared" ca="1" si="257"/>
        <v>#N/A</v>
      </c>
      <c r="AD574" s="323" t="e">
        <f t="shared" ca="1" si="258"/>
        <v>#N/A</v>
      </c>
      <c r="AE574" s="324" t="e">
        <f t="shared" ca="1" si="237"/>
        <v>#N/A</v>
      </c>
      <c r="AG574" s="306">
        <f t="shared" ca="1" si="259"/>
        <v>2.3457374099077519</v>
      </c>
      <c r="AH574" s="304">
        <f t="shared" ca="1" si="260"/>
        <v>-7.4166980559614828</v>
      </c>
    </row>
    <row r="575" spans="1:34" x14ac:dyDescent="0.2">
      <c r="A575" s="347">
        <f t="shared" ca="1" si="238"/>
        <v>1E-4</v>
      </c>
      <c r="B575" s="304">
        <f t="shared" ca="1" si="239"/>
        <v>33.60550000000039</v>
      </c>
      <c r="D575" s="306">
        <f t="shared" ca="1" si="240"/>
        <v>-0.7294648180350527</v>
      </c>
      <c r="E575" s="307">
        <f t="shared" ca="1" si="241"/>
        <v>-2.4292242679186771</v>
      </c>
      <c r="F575" s="304">
        <f t="shared" ca="1" si="242"/>
        <v>2.5363851175631718</v>
      </c>
      <c r="G575" s="306">
        <f t="shared" ca="1" si="243"/>
        <v>11.890891672299565</v>
      </c>
      <c r="H575" s="307">
        <f t="shared" ca="1" si="244"/>
        <v>-120.31384944528716</v>
      </c>
      <c r="I575" s="304">
        <f t="shared" ca="1" si="245"/>
        <v>120.90002346197286</v>
      </c>
      <c r="J575" s="306">
        <f t="shared" ca="1" si="246"/>
        <v>755.70453742140728</v>
      </c>
      <c r="K575" s="307">
        <f t="shared" ca="1" si="247"/>
        <v>-3.0420511647936168</v>
      </c>
      <c r="L575" s="304">
        <f t="shared" ca="1" si="232"/>
        <v>755.71066020970773</v>
      </c>
      <c r="M575" s="306">
        <f t="shared" ca="1" si="248"/>
        <v>-1.4722839690503431</v>
      </c>
      <c r="N575" s="304">
        <f t="shared" ca="1" si="249"/>
        <v>-84.35565767135418</v>
      </c>
      <c r="P575" s="310">
        <f t="shared" ca="1" si="250"/>
        <v>23</v>
      </c>
      <c r="Q575" s="304">
        <f t="shared" ca="1" si="251"/>
        <v>0</v>
      </c>
      <c r="R575" s="306">
        <f t="shared" ca="1" si="252"/>
        <v>0</v>
      </c>
      <c r="S575" s="307">
        <f t="shared" ca="1" si="253"/>
        <v>7.9769999999999968</v>
      </c>
      <c r="T575" s="304">
        <f t="shared" ca="1" si="233"/>
        <v>78.254369999999966</v>
      </c>
      <c r="U575" s="311">
        <f t="shared" ca="1" si="234"/>
        <v>0</v>
      </c>
      <c r="V575" s="306">
        <f t="shared" ca="1" si="235"/>
        <v>1.225372707957521</v>
      </c>
      <c r="W575" s="304">
        <f t="shared" ca="1" si="236"/>
        <v>59.163601914191041</v>
      </c>
      <c r="Y575" s="314" t="str">
        <f t="shared" ca="1" si="254"/>
        <v/>
      </c>
      <c r="Z575" s="315" t="str">
        <f t="shared" ca="1" si="255"/>
        <v/>
      </c>
      <c r="AA575" s="316" t="str">
        <f t="shared" ca="1" si="256"/>
        <v/>
      </c>
      <c r="AC575" s="310" t="e">
        <f t="shared" ca="1" si="257"/>
        <v>#N/A</v>
      </c>
      <c r="AD575" s="323" t="e">
        <f t="shared" ca="1" si="258"/>
        <v>#N/A</v>
      </c>
      <c r="AE575" s="324" t="e">
        <f t="shared" ca="1" si="237"/>
        <v>#N/A</v>
      </c>
      <c r="AG575" s="306">
        <f t="shared" ca="1" si="259"/>
        <v>2.345700476266769</v>
      </c>
      <c r="AH575" s="304">
        <f t="shared" ca="1" si="260"/>
        <v>-7.4167357596203676</v>
      </c>
    </row>
    <row r="576" spans="1:34" x14ac:dyDescent="0.2">
      <c r="A576" s="347">
        <f t="shared" ca="1" si="238"/>
        <v>1E-4</v>
      </c>
      <c r="B576" s="304">
        <f t="shared" ca="1" si="239"/>
        <v>33.605600000000393</v>
      </c>
      <c r="D576" s="306">
        <f t="shared" ca="1" si="240"/>
        <v>-0.72946263599378158</v>
      </c>
      <c r="E576" s="307">
        <f t="shared" ca="1" si="241"/>
        <v>-2.4291861652082973</v>
      </c>
      <c r="F576" s="304">
        <f t="shared" ca="1" si="242"/>
        <v>2.5363479971309908</v>
      </c>
      <c r="G576" s="306">
        <f t="shared" ca="1" si="243"/>
        <v>11.890818726035965</v>
      </c>
      <c r="H576" s="307">
        <f t="shared" ca="1" si="244"/>
        <v>-120.31409236390368</v>
      </c>
      <c r="I576" s="304">
        <f t="shared" ca="1" si="245"/>
        <v>120.90025802836566</v>
      </c>
      <c r="J576" s="306">
        <f t="shared" ca="1" si="246"/>
        <v>755.70453742140728</v>
      </c>
      <c r="K576" s="307">
        <f t="shared" ca="1" si="247"/>
        <v>-3.0540825618840763</v>
      </c>
      <c r="L576" s="304">
        <f t="shared" ca="1" si="232"/>
        <v>755.71070873688029</v>
      </c>
      <c r="M576" s="306">
        <f t="shared" ca="1" si="248"/>
        <v>-1.4722847670998198</v>
      </c>
      <c r="N576" s="304">
        <f t="shared" ca="1" si="249"/>
        <v>-84.355703396221031</v>
      </c>
      <c r="P576" s="310">
        <f t="shared" ca="1" si="250"/>
        <v>23</v>
      </c>
      <c r="Q576" s="304">
        <f t="shared" ca="1" si="251"/>
        <v>0</v>
      </c>
      <c r="R576" s="306">
        <f t="shared" ca="1" si="252"/>
        <v>0</v>
      </c>
      <c r="S576" s="307">
        <f t="shared" ca="1" si="253"/>
        <v>7.9769999999999968</v>
      </c>
      <c r="T576" s="304">
        <f t="shared" ca="1" si="233"/>
        <v>78.254369999999966</v>
      </c>
      <c r="U576" s="311">
        <f t="shared" ca="1" si="234"/>
        <v>0</v>
      </c>
      <c r="V576" s="306">
        <f t="shared" ca="1" si="235"/>
        <v>1.2253741822530058</v>
      </c>
      <c r="W576" s="304">
        <f t="shared" ca="1" si="236"/>
        <v>59.163902671502946</v>
      </c>
      <c r="Y576" s="314" t="str">
        <f t="shared" ca="1" si="254"/>
        <v/>
      </c>
      <c r="Z576" s="315" t="str">
        <f t="shared" ca="1" si="255"/>
        <v/>
      </c>
      <c r="AA576" s="316" t="str">
        <f t="shared" ca="1" si="256"/>
        <v/>
      </c>
      <c r="AC576" s="310" t="e">
        <f t="shared" ca="1" si="257"/>
        <v>#N/A</v>
      </c>
      <c r="AD576" s="323" t="e">
        <f t="shared" ca="1" si="258"/>
        <v>#N/A</v>
      </c>
      <c r="AE576" s="324" t="e">
        <f t="shared" ca="1" si="237"/>
        <v>#N/A</v>
      </c>
      <c r="AG576" s="306">
        <f t="shared" ca="1" si="259"/>
        <v>2.3456635429111579</v>
      </c>
      <c r="AH576" s="304">
        <f t="shared" ca="1" si="260"/>
        <v>-7.4167734629799504</v>
      </c>
    </row>
    <row r="577" spans="1:34" x14ac:dyDescent="0.2">
      <c r="A577" s="347">
        <f t="shared" ca="1" si="238"/>
        <v>1E-4</v>
      </c>
      <c r="B577" s="304">
        <f t="shared" ca="1" si="239"/>
        <v>33.605700000000397</v>
      </c>
      <c r="D577" s="306">
        <f t="shared" ca="1" si="240"/>
        <v>-0.72946045392171355</v>
      </c>
      <c r="E577" s="307">
        <f t="shared" ca="1" si="241"/>
        <v>-2.4291480628003752</v>
      </c>
      <c r="F577" s="304">
        <f t="shared" ca="1" si="242"/>
        <v>2.5363108770106413</v>
      </c>
      <c r="G577" s="306">
        <f t="shared" ca="1" si="243"/>
        <v>11.890745779990572</v>
      </c>
      <c r="H577" s="307">
        <f t="shared" ca="1" si="244"/>
        <v>-120.31433527870996</v>
      </c>
      <c r="I577" s="304">
        <f t="shared" ca="1" si="245"/>
        <v>120.90049259106513</v>
      </c>
      <c r="J577" s="306">
        <f t="shared" ca="1" si="246"/>
        <v>755.70453742140728</v>
      </c>
      <c r="K577" s="307">
        <f t="shared" ca="1" si="247"/>
        <v>-3.0661139832662072</v>
      </c>
      <c r="L577" s="304">
        <f t="shared" ca="1" si="232"/>
        <v>755.71075745569578</v>
      </c>
      <c r="M577" s="306">
        <f t="shared" ca="1" si="248"/>
        <v>-1.472285565141304</v>
      </c>
      <c r="N577" s="304">
        <f t="shared" ca="1" si="249"/>
        <v>-84.355749120629952</v>
      </c>
      <c r="P577" s="310">
        <f t="shared" ca="1" si="250"/>
        <v>23</v>
      </c>
      <c r="Q577" s="304">
        <f t="shared" ca="1" si="251"/>
        <v>0</v>
      </c>
      <c r="R577" s="306">
        <f t="shared" ca="1" si="252"/>
        <v>0</v>
      </c>
      <c r="S577" s="307">
        <f t="shared" ca="1" si="253"/>
        <v>7.9769999999999968</v>
      </c>
      <c r="T577" s="304">
        <f t="shared" ca="1" si="233"/>
        <v>78.254369999999966</v>
      </c>
      <c r="U577" s="311">
        <f t="shared" ca="1" si="234"/>
        <v>0</v>
      </c>
      <c r="V577" s="306">
        <f t="shared" ca="1" si="235"/>
        <v>1.2253756565532408</v>
      </c>
      <c r="W577" s="304">
        <f t="shared" ca="1" si="236"/>
        <v>59.164203426427292</v>
      </c>
      <c r="Y577" s="314" t="str">
        <f t="shared" ca="1" si="254"/>
        <v/>
      </c>
      <c r="Z577" s="315" t="str">
        <f t="shared" ca="1" si="255"/>
        <v/>
      </c>
      <c r="AA577" s="316" t="str">
        <f t="shared" ca="1" si="256"/>
        <v/>
      </c>
      <c r="AC577" s="310" t="e">
        <f t="shared" ca="1" si="257"/>
        <v>#N/A</v>
      </c>
      <c r="AD577" s="323" t="e">
        <f t="shared" ca="1" si="258"/>
        <v>#N/A</v>
      </c>
      <c r="AE577" s="324" t="e">
        <f t="shared" ca="1" si="237"/>
        <v>#N/A</v>
      </c>
      <c r="AG577" s="306">
        <f t="shared" ca="1" si="259"/>
        <v>2.3456266098409113</v>
      </c>
      <c r="AH577" s="304">
        <f t="shared" ca="1" si="260"/>
        <v>-7.4168111660402367</v>
      </c>
    </row>
    <row r="578" spans="1:34" x14ac:dyDescent="0.2">
      <c r="A578" s="347">
        <f t="shared" ca="1" si="238"/>
        <v>1E-4</v>
      </c>
      <c r="B578" s="304">
        <f t="shared" ca="1" si="239"/>
        <v>33.6058000000004</v>
      </c>
      <c r="D578" s="306">
        <f t="shared" ca="1" si="240"/>
        <v>-0.7294582718188497</v>
      </c>
      <c r="E578" s="307">
        <f t="shared" ca="1" si="241"/>
        <v>-2.4291099606949187</v>
      </c>
      <c r="F578" s="304">
        <f t="shared" ca="1" si="242"/>
        <v>2.5362737572021303</v>
      </c>
      <c r="G578" s="306">
        <f t="shared" ca="1" si="243"/>
        <v>11.890672834163391</v>
      </c>
      <c r="H578" s="307">
        <f t="shared" ca="1" si="244"/>
        <v>-120.31457818970603</v>
      </c>
      <c r="I578" s="304">
        <f t="shared" ca="1" si="245"/>
        <v>120.90072715007133</v>
      </c>
      <c r="J578" s="306">
        <f t="shared" ca="1" si="246"/>
        <v>755.70453742140728</v>
      </c>
      <c r="K578" s="307">
        <f t="shared" ca="1" si="247"/>
        <v>-3.0781454289396279</v>
      </c>
      <c r="L578" s="304">
        <f t="shared" ca="1" si="232"/>
        <v>755.71080636615534</v>
      </c>
      <c r="M578" s="306">
        <f t="shared" ca="1" si="248"/>
        <v>-1.4722863631747962</v>
      </c>
      <c r="N578" s="304">
        <f t="shared" ca="1" si="249"/>
        <v>-84.35579484458097</v>
      </c>
      <c r="P578" s="310">
        <f t="shared" ca="1" si="250"/>
        <v>23</v>
      </c>
      <c r="Q578" s="304">
        <f t="shared" ca="1" si="251"/>
        <v>0</v>
      </c>
      <c r="R578" s="306">
        <f t="shared" ca="1" si="252"/>
        <v>0</v>
      </c>
      <c r="S578" s="307">
        <f t="shared" ca="1" si="253"/>
        <v>7.9769999999999968</v>
      </c>
      <c r="T578" s="304">
        <f t="shared" ca="1" si="233"/>
        <v>78.254369999999966</v>
      </c>
      <c r="U578" s="311">
        <f t="shared" ca="1" si="234"/>
        <v>0</v>
      </c>
      <c r="V578" s="306">
        <f t="shared" ca="1" si="235"/>
        <v>1.2253771308582264</v>
      </c>
      <c r="W578" s="304">
        <f t="shared" ca="1" si="236"/>
        <v>59.164504178964108</v>
      </c>
      <c r="Y578" s="314" t="str">
        <f t="shared" ca="1" si="254"/>
        <v/>
      </c>
      <c r="Z578" s="315" t="str">
        <f t="shared" ca="1" si="255"/>
        <v/>
      </c>
      <c r="AA578" s="316" t="str">
        <f t="shared" ca="1" si="256"/>
        <v/>
      </c>
      <c r="AC578" s="310" t="e">
        <f t="shared" ca="1" si="257"/>
        <v>#N/A</v>
      </c>
      <c r="AD578" s="323" t="e">
        <f t="shared" ca="1" si="258"/>
        <v>#N/A</v>
      </c>
      <c r="AE578" s="324" t="e">
        <f t="shared" ca="1" si="237"/>
        <v>#N/A</v>
      </c>
      <c r="AG578" s="306">
        <f t="shared" ca="1" si="259"/>
        <v>2.3455896770560445</v>
      </c>
      <c r="AH578" s="304">
        <f t="shared" ca="1" si="260"/>
        <v>-7.4168488688012184</v>
      </c>
    </row>
    <row r="579" spans="1:34" x14ac:dyDescent="0.2">
      <c r="A579" s="347">
        <f t="shared" ca="1" si="238"/>
        <v>1E-4</v>
      </c>
      <c r="B579" s="304">
        <f t="shared" ca="1" si="239"/>
        <v>33.605900000000403</v>
      </c>
      <c r="D579" s="306">
        <f t="shared" ca="1" si="240"/>
        <v>-0.72945608968518838</v>
      </c>
      <c r="E579" s="307">
        <f t="shared" ca="1" si="241"/>
        <v>-2.429071858891926</v>
      </c>
      <c r="F579" s="304">
        <f t="shared" ca="1" si="242"/>
        <v>2.536236637705457</v>
      </c>
      <c r="G579" s="306">
        <f t="shared" ca="1" si="243"/>
        <v>11.890599888554423</v>
      </c>
      <c r="H579" s="307">
        <f t="shared" ca="1" si="244"/>
        <v>-120.31482109689192</v>
      </c>
      <c r="I579" s="304">
        <f t="shared" ca="1" si="245"/>
        <v>120.90096170538429</v>
      </c>
      <c r="J579" s="306">
        <f t="shared" ca="1" si="246"/>
        <v>755.70453742140728</v>
      </c>
      <c r="K579" s="307">
        <f t="shared" ca="1" si="247"/>
        <v>-3.090176898903958</v>
      </c>
      <c r="L579" s="304">
        <f t="shared" ca="1" si="232"/>
        <v>755.71085546826021</v>
      </c>
      <c r="M579" s="306">
        <f t="shared" ca="1" si="248"/>
        <v>-1.4722871612002959</v>
      </c>
      <c r="N579" s="304">
        <f t="shared" ca="1" si="249"/>
        <v>-84.355840568074044</v>
      </c>
      <c r="P579" s="310">
        <f t="shared" ca="1" si="250"/>
        <v>23</v>
      </c>
      <c r="Q579" s="304">
        <f t="shared" ca="1" si="251"/>
        <v>0</v>
      </c>
      <c r="R579" s="306">
        <f t="shared" ca="1" si="252"/>
        <v>0</v>
      </c>
      <c r="S579" s="307">
        <f t="shared" ca="1" si="253"/>
        <v>7.9769999999999968</v>
      </c>
      <c r="T579" s="304">
        <f t="shared" ca="1" si="233"/>
        <v>78.254369999999966</v>
      </c>
      <c r="U579" s="311">
        <f t="shared" ca="1" si="234"/>
        <v>0</v>
      </c>
      <c r="V579" s="306">
        <f t="shared" ca="1" si="235"/>
        <v>1.2253786051679627</v>
      </c>
      <c r="W579" s="304">
        <f t="shared" ca="1" si="236"/>
        <v>59.16480492911343</v>
      </c>
      <c r="Y579" s="314" t="str">
        <f t="shared" ca="1" si="254"/>
        <v/>
      </c>
      <c r="Z579" s="315" t="str">
        <f t="shared" ca="1" si="255"/>
        <v/>
      </c>
      <c r="AA579" s="316" t="str">
        <f t="shared" ca="1" si="256"/>
        <v/>
      </c>
      <c r="AC579" s="310" t="e">
        <f t="shared" ca="1" si="257"/>
        <v>#N/A</v>
      </c>
      <c r="AD579" s="323" t="e">
        <f t="shared" ca="1" si="258"/>
        <v>#N/A</v>
      </c>
      <c r="AE579" s="324" t="e">
        <f t="shared" ca="1" si="237"/>
        <v>#N/A</v>
      </c>
      <c r="AG579" s="306">
        <f t="shared" ca="1" si="259"/>
        <v>2.3455527445565503</v>
      </c>
      <c r="AH579" s="304">
        <f t="shared" ca="1" si="260"/>
        <v>-7.4168865712628973</v>
      </c>
    </row>
    <row r="580" spans="1:34" x14ac:dyDescent="0.2">
      <c r="A580" s="347">
        <f t="shared" ca="1" si="238"/>
        <v>1E-4</v>
      </c>
      <c r="B580" s="304">
        <f t="shared" ca="1" si="239"/>
        <v>33.606000000000407</v>
      </c>
      <c r="D580" s="306">
        <f t="shared" ca="1" si="240"/>
        <v>-0.72945390752073502</v>
      </c>
      <c r="E580" s="307">
        <f t="shared" ca="1" si="241"/>
        <v>-2.4290337573913918</v>
      </c>
      <c r="F580" s="304">
        <f t="shared" ca="1" si="242"/>
        <v>2.5361995185206174</v>
      </c>
      <c r="G580" s="306">
        <f t="shared" ca="1" si="243"/>
        <v>11.890526943163671</v>
      </c>
      <c r="H580" s="307">
        <f t="shared" ca="1" si="244"/>
        <v>-120.31506400026765</v>
      </c>
      <c r="I580" s="304">
        <f t="shared" ca="1" si="245"/>
        <v>120.90119625700403</v>
      </c>
      <c r="J580" s="306">
        <f t="shared" ca="1" si="246"/>
        <v>755.70453742140728</v>
      </c>
      <c r="K580" s="307">
        <f t="shared" ca="1" si="247"/>
        <v>-3.1022083931588158</v>
      </c>
      <c r="L580" s="304">
        <f t="shared" ref="L580:L643" ca="1" si="261">SQRT(pos_x^2+pos_z^2)</f>
        <v>755.71090476201141</v>
      </c>
      <c r="M580" s="306">
        <f t="shared" ca="1" si="248"/>
        <v>-1.4722879592178038</v>
      </c>
      <c r="N580" s="304">
        <f t="shared" ca="1" si="249"/>
        <v>-84.355886291109229</v>
      </c>
      <c r="P580" s="310">
        <f t="shared" ca="1" si="250"/>
        <v>23</v>
      </c>
      <c r="Q580" s="304">
        <f t="shared" ca="1" si="251"/>
        <v>0</v>
      </c>
      <c r="R580" s="306">
        <f t="shared" ca="1" si="252"/>
        <v>0</v>
      </c>
      <c r="S580" s="307">
        <f t="shared" ca="1" si="253"/>
        <v>7.9769999999999968</v>
      </c>
      <c r="T580" s="304">
        <f t="shared" ref="T580:T643" ca="1" si="262">m*g</f>
        <v>78.254369999999966</v>
      </c>
      <c r="U580" s="311">
        <f t="shared" ref="U580:U643" ca="1" si="263">IF(pos_xz&lt;L_rampe,Poids*COS(Beta),0)</f>
        <v>0</v>
      </c>
      <c r="V580" s="306">
        <f t="shared" ref="V580:V643" ca="1" si="264">Rho_moyen*(20000-Alt_rampe-pos_z)/(20000+Alt_rampe+pos_z)</f>
        <v>1.2253800794824503</v>
      </c>
      <c r="W580" s="304">
        <f t="shared" ref="W580:W643" ca="1" si="265">1/2*Rho*Sref*Cx*vit_xz^2</f>
        <v>59.165105676875228</v>
      </c>
      <c r="Y580" s="314" t="str">
        <f t="shared" ca="1" si="254"/>
        <v/>
      </c>
      <c r="Z580" s="315" t="str">
        <f t="shared" ca="1" si="255"/>
        <v/>
      </c>
      <c r="AA580" s="316" t="str">
        <f t="shared" ca="1" si="256"/>
        <v/>
      </c>
      <c r="AC580" s="310" t="e">
        <f t="shared" ca="1" si="257"/>
        <v>#N/A</v>
      </c>
      <c r="AD580" s="323" t="e">
        <f t="shared" ca="1" si="258"/>
        <v>#N/A</v>
      </c>
      <c r="AE580" s="324" t="e">
        <f t="shared" ref="AE580:AE643" ca="1" si="266">IF(t&lt;T_para, pos_z, NA())</f>
        <v>#N/A</v>
      </c>
      <c r="AG580" s="306">
        <f t="shared" ca="1" si="259"/>
        <v>2.3455158123424242</v>
      </c>
      <c r="AH580" s="304">
        <f t="shared" ca="1" si="260"/>
        <v>-7.4169242734252796</v>
      </c>
    </row>
    <row r="581" spans="1:34" x14ac:dyDescent="0.2">
      <c r="A581" s="347">
        <f t="shared" ref="A581:A644" ca="1" si="267">IF(B580+0.01&lt;=T_ini+ROUNDUP(Temps_fin_propu,0), 0.01, IF(K580&gt;0, 0.1, 0.0001))</f>
        <v>1E-4</v>
      </c>
      <c r="B581" s="304">
        <f t="shared" ref="B581:B644" ca="1" si="268">B580+pas</f>
        <v>33.60610000000041</v>
      </c>
      <c r="D581" s="306">
        <f t="shared" ref="D581:D644" ca="1" si="269">IF(AND(L580&lt;L_rampe,Poussee&lt;Poids*SIN(M580)),0,(-W580+Poussee)/m*COS(M580)-U580/m*SIN(M580))</f>
        <v>-0.72945172532548608</v>
      </c>
      <c r="E581" s="307">
        <f t="shared" ref="E581:E644" ca="1" si="270">IF(AND(L580&lt;L_rampe,Poussee&lt;Poids*SIN(M580)),0,(-W580+Poussee)/m*SIN(M580)+U580/m*COS(M580)-Poids/m)</f>
        <v>-2.4289956561933197</v>
      </c>
      <c r="F581" s="304">
        <f t="shared" ref="F581:F644" ca="1" si="271">SQRT(acc_x^2+acc_z^2)</f>
        <v>2.5361623996476141</v>
      </c>
      <c r="G581" s="306">
        <f t="shared" ref="G581:G644" ca="1" si="272">G580+acc_x*pas</f>
        <v>11.890453997991138</v>
      </c>
      <c r="H581" s="307">
        <f t="shared" ref="H581:H644" ca="1" si="273">H580+acc_z*pas</f>
        <v>-120.31530689983327</v>
      </c>
      <c r="I581" s="304">
        <f t="shared" ref="I581:I644" ca="1" si="274">SQRT(vit_x^2+vit_z^2)</f>
        <v>120.90143080493056</v>
      </c>
      <c r="J581" s="306">
        <f t="shared" ref="J581:J644" ca="1" si="275">J580+0.5*(vit_x+G580)*pas*(K580&gt;=0)</f>
        <v>755.70453742140728</v>
      </c>
      <c r="K581" s="307">
        <f t="shared" ref="K581:K644" ca="1" si="276">K580+0.5*(vit_z+H580)*pas</f>
        <v>-3.1142399117038209</v>
      </c>
      <c r="L581" s="304">
        <f t="shared" ca="1" si="261"/>
        <v>755.71095424740986</v>
      </c>
      <c r="M581" s="306">
        <f t="shared" ref="M581:M644" ca="1" si="277">IF(AND(L580&gt;L_rampe,G581&gt;0),ATAN2(G581,H581),$M$4)</f>
        <v>-1.4722887572273198</v>
      </c>
      <c r="N581" s="304">
        <f t="shared" ref="N581:N644" ca="1" si="278">DEGREES(Beta)</f>
        <v>-84.355932013686498</v>
      </c>
      <c r="P581" s="310">
        <f t="shared" ref="P581:P644" ca="1" si="279">MATCH(t-pas/2-T_ini,CdP_t)</f>
        <v>23</v>
      </c>
      <c r="Q581" s="304">
        <f t="shared" ref="Q581:Q644" ca="1" si="280">(INDEX(CdP,2,i_P+1)-INDEX(CdP,2,i_P+0))/(INDEX(CdP,1,i_P+1)-INDEX(CdP,1,i_P+0))*(t-pas/2-T_ini-INDEX(CdP,1,i_P+0))+INDEX(CdP,2,i_P+0)</f>
        <v>0</v>
      </c>
      <c r="R581" s="306">
        <f t="shared" ref="R581:R644" ca="1" si="281">Poussee/(g*ISP)</f>
        <v>0</v>
      </c>
      <c r="S581" s="307">
        <f t="shared" ref="S581:S644" ca="1" si="282">S580-Débit*pas</f>
        <v>7.9769999999999968</v>
      </c>
      <c r="T581" s="304">
        <f t="shared" ca="1" si="262"/>
        <v>78.254369999999966</v>
      </c>
      <c r="U581" s="311">
        <f t="shared" ca="1" si="263"/>
        <v>0</v>
      </c>
      <c r="V581" s="306">
        <f t="shared" ca="1" si="264"/>
        <v>1.2253815538016879</v>
      </c>
      <c r="W581" s="304">
        <f t="shared" ca="1" si="265"/>
        <v>59.165406422249454</v>
      </c>
      <c r="Y581" s="314" t="str">
        <f t="shared" ref="Y581:Y644" ca="1" si="283">IF(AND(pos_z&lt;=0,K580&gt;0),"Impact balistique","") &amp; IF(AND(H582&lt;0,vit_z&gt;=0),"Apogée","") &amp; IF(AND(Poussee=0,Q580&gt;0),"Fin de propulsion","") &amp; IF(AND(L582&gt;L_rampe,pos_xz&lt;=L_rampe),"Sortie de rampe","")</f>
        <v/>
      </c>
      <c r="Z581" s="315" t="str">
        <f t="shared" ref="Z581:Z644" ca="1" si="284">IF(ABS(t-T_para)&lt;pas/2,"Para","")</f>
        <v/>
      </c>
      <c r="AA581" s="316" t="str">
        <f t="shared" ref="AA581:AA644" ca="1" si="285">IF(ABS(t-T_satellite)&lt;pas/2,"Satellite","")</f>
        <v/>
      </c>
      <c r="AC581" s="310" t="e">
        <f t="shared" ref="AC581:AC644" ca="1" si="286">IF(ABS(t-ROUND(t,0))&lt;0.001,t,NA())</f>
        <v>#N/A</v>
      </c>
      <c r="AD581" s="323" t="e">
        <f t="shared" ref="AD581:AD644" ca="1" si="287">IF(ABS(t-ROUND(t,0))&lt;0.001,pos_x,NA())</f>
        <v>#N/A</v>
      </c>
      <c r="AE581" s="324" t="e">
        <f t="shared" ca="1" si="266"/>
        <v>#N/A</v>
      </c>
      <c r="AG581" s="306">
        <f t="shared" ref="AG581:AG644" ca="1" si="288">IF(AND(L580&lt;L_rampe,Poussee&lt;Poids*SIN(M580)),0,(-W580+Poussee)/m-Poids*SIN(M580)/m)</f>
        <v>2.3454788804136708</v>
      </c>
      <c r="AH581" s="304">
        <f t="shared" ref="AH581:AH644" ca="1" si="289">IF(AND(L580&lt;L_rampe,Poussee&lt;Poids*SIN(M580)), g*SIN(M580), (-W580+Poussee)/m)</f>
        <v>-7.4169619752883609</v>
      </c>
    </row>
    <row r="582" spans="1:34" x14ac:dyDescent="0.2">
      <c r="A582" s="347">
        <f t="shared" ca="1" si="267"/>
        <v>1E-4</v>
      </c>
      <c r="B582" s="304">
        <f t="shared" ca="1" si="268"/>
        <v>33.606200000000413</v>
      </c>
      <c r="D582" s="306">
        <f t="shared" ca="1" si="269"/>
        <v>-0.72944954309944243</v>
      </c>
      <c r="E582" s="307">
        <f t="shared" ca="1" si="270"/>
        <v>-2.4289575552977158</v>
      </c>
      <c r="F582" s="304">
        <f t="shared" ca="1" si="271"/>
        <v>2.5361252810864534</v>
      </c>
      <c r="G582" s="306">
        <f t="shared" ca="1" si="272"/>
        <v>11.890381053036828</v>
      </c>
      <c r="H582" s="307">
        <f t="shared" ca="1" si="273"/>
        <v>-120.31554979558881</v>
      </c>
      <c r="I582" s="304">
        <f t="shared" ca="1" si="274"/>
        <v>120.90166534916393</v>
      </c>
      <c r="J582" s="306">
        <f t="shared" ca="1" si="275"/>
        <v>755.70453742140728</v>
      </c>
      <c r="K582" s="307">
        <f t="shared" ca="1" si="276"/>
        <v>-3.1262714545385921</v>
      </c>
      <c r="L582" s="304">
        <f t="shared" ca="1" si="261"/>
        <v>755.71100392445692</v>
      </c>
      <c r="M582" s="306">
        <f t="shared" ca="1" si="277"/>
        <v>-1.472289555228844</v>
      </c>
      <c r="N582" s="304">
        <f t="shared" ca="1" si="278"/>
        <v>-84.35597773580588</v>
      </c>
      <c r="P582" s="310">
        <f t="shared" ca="1" si="279"/>
        <v>23</v>
      </c>
      <c r="Q582" s="304">
        <f t="shared" ca="1" si="280"/>
        <v>0</v>
      </c>
      <c r="R582" s="306">
        <f t="shared" ca="1" si="281"/>
        <v>0</v>
      </c>
      <c r="S582" s="307">
        <f t="shared" ca="1" si="282"/>
        <v>7.9769999999999968</v>
      </c>
      <c r="T582" s="304">
        <f t="shared" ca="1" si="262"/>
        <v>78.254369999999966</v>
      </c>
      <c r="U582" s="311">
        <f t="shared" ca="1" si="263"/>
        <v>0</v>
      </c>
      <c r="V582" s="306">
        <f t="shared" ca="1" si="264"/>
        <v>1.2253830281256757</v>
      </c>
      <c r="W582" s="304">
        <f t="shared" ca="1" si="265"/>
        <v>59.165707165236135</v>
      </c>
      <c r="Y582" s="314" t="str">
        <f t="shared" ca="1" si="283"/>
        <v/>
      </c>
      <c r="Z582" s="315" t="str">
        <f t="shared" ca="1" si="284"/>
        <v/>
      </c>
      <c r="AA582" s="316" t="str">
        <f t="shared" ca="1" si="285"/>
        <v/>
      </c>
      <c r="AC582" s="310" t="e">
        <f t="shared" ca="1" si="286"/>
        <v>#N/A</v>
      </c>
      <c r="AD582" s="323" t="e">
        <f t="shared" ca="1" si="287"/>
        <v>#N/A</v>
      </c>
      <c r="AE582" s="324" t="e">
        <f t="shared" ca="1" si="266"/>
        <v>#N/A</v>
      </c>
      <c r="AG582" s="306">
        <f t="shared" ca="1" si="288"/>
        <v>2.345441948770298</v>
      </c>
      <c r="AH582" s="304">
        <f t="shared" ca="1" si="289"/>
        <v>-7.4169996768521349</v>
      </c>
    </row>
    <row r="583" spans="1:34" x14ac:dyDescent="0.2">
      <c r="A583" s="347">
        <f t="shared" ca="1" si="267"/>
        <v>1E-4</v>
      </c>
      <c r="B583" s="304">
        <f t="shared" ca="1" si="268"/>
        <v>33.606300000000417</v>
      </c>
      <c r="D583" s="306">
        <f t="shared" ca="1" si="269"/>
        <v>-0.72944736084260631</v>
      </c>
      <c r="E583" s="307">
        <f t="shared" ca="1" si="270"/>
        <v>-2.4289194547045758</v>
      </c>
      <c r="F583" s="304">
        <f t="shared" ca="1" si="271"/>
        <v>2.5360881628371317</v>
      </c>
      <c r="G583" s="306">
        <f t="shared" ca="1" si="272"/>
        <v>11.890308108300744</v>
      </c>
      <c r="H583" s="307">
        <f t="shared" ca="1" si="273"/>
        <v>-120.31579268753428</v>
      </c>
      <c r="I583" s="304">
        <f t="shared" ca="1" si="274"/>
        <v>120.90189988970417</v>
      </c>
      <c r="J583" s="306">
        <f t="shared" ca="1" si="275"/>
        <v>755.70453742140728</v>
      </c>
      <c r="K583" s="307">
        <f t="shared" ca="1" si="276"/>
        <v>-3.1383030216627481</v>
      </c>
      <c r="L583" s="304">
        <f t="shared" ca="1" si="261"/>
        <v>755.71105379315372</v>
      </c>
      <c r="M583" s="306">
        <f t="shared" ca="1" si="277"/>
        <v>-1.4722903532223763</v>
      </c>
      <c r="N583" s="304">
        <f t="shared" ca="1" si="278"/>
        <v>-84.356023457467373</v>
      </c>
      <c r="P583" s="310">
        <f t="shared" ca="1" si="279"/>
        <v>23</v>
      </c>
      <c r="Q583" s="304">
        <f t="shared" ca="1" si="280"/>
        <v>0</v>
      </c>
      <c r="R583" s="306">
        <f t="shared" ca="1" si="281"/>
        <v>0</v>
      </c>
      <c r="S583" s="307">
        <f t="shared" ca="1" si="282"/>
        <v>7.9769999999999968</v>
      </c>
      <c r="T583" s="304">
        <f t="shared" ca="1" si="262"/>
        <v>78.254369999999966</v>
      </c>
      <c r="U583" s="311">
        <f t="shared" ca="1" si="263"/>
        <v>0</v>
      </c>
      <c r="V583" s="306">
        <f t="shared" ca="1" si="264"/>
        <v>1.2253845024544145</v>
      </c>
      <c r="W583" s="304">
        <f t="shared" ca="1" si="265"/>
        <v>59.166007905835286</v>
      </c>
      <c r="Y583" s="314" t="str">
        <f t="shared" ca="1" si="283"/>
        <v/>
      </c>
      <c r="Z583" s="315" t="str">
        <f t="shared" ca="1" si="284"/>
        <v/>
      </c>
      <c r="AA583" s="316" t="str">
        <f t="shared" ca="1" si="285"/>
        <v/>
      </c>
      <c r="AC583" s="310" t="e">
        <f t="shared" ca="1" si="286"/>
        <v>#N/A</v>
      </c>
      <c r="AD583" s="323" t="e">
        <f t="shared" ca="1" si="287"/>
        <v>#N/A</v>
      </c>
      <c r="AE583" s="324" t="e">
        <f t="shared" ca="1" si="266"/>
        <v>#N/A</v>
      </c>
      <c r="AG583" s="306">
        <f t="shared" ca="1" si="288"/>
        <v>2.3454050174123022</v>
      </c>
      <c r="AH583" s="304">
        <f t="shared" ca="1" si="289"/>
        <v>-7.4170373781166052</v>
      </c>
    </row>
    <row r="584" spans="1:34" x14ac:dyDescent="0.2">
      <c r="A584" s="347">
        <f t="shared" ca="1" si="267"/>
        <v>1E-4</v>
      </c>
      <c r="B584" s="304">
        <f t="shared" ca="1" si="268"/>
        <v>33.60640000000042</v>
      </c>
      <c r="D584" s="306">
        <f t="shared" ca="1" si="269"/>
        <v>-0.72944517855497915</v>
      </c>
      <c r="E584" s="307">
        <f t="shared" ca="1" si="270"/>
        <v>-2.4288813544138996</v>
      </c>
      <c r="F584" s="304">
        <f t="shared" ca="1" si="271"/>
        <v>2.5360510448996498</v>
      </c>
      <c r="G584" s="306">
        <f t="shared" ca="1" si="272"/>
        <v>11.890235163782888</v>
      </c>
      <c r="H584" s="307">
        <f t="shared" ca="1" si="273"/>
        <v>-120.31603557566973</v>
      </c>
      <c r="I584" s="304">
        <f t="shared" ca="1" si="274"/>
        <v>120.9021344265513</v>
      </c>
      <c r="J584" s="306">
        <f t="shared" ca="1" si="275"/>
        <v>755.70453742140728</v>
      </c>
      <c r="K584" s="307">
        <f t="shared" ca="1" si="276"/>
        <v>-3.1503346130759082</v>
      </c>
      <c r="L584" s="304">
        <f t="shared" ca="1" si="261"/>
        <v>755.71110385350141</v>
      </c>
      <c r="M584" s="306">
        <f t="shared" ca="1" si="277"/>
        <v>-1.4722911512079173</v>
      </c>
      <c r="N584" s="304">
        <f t="shared" ca="1" si="278"/>
        <v>-84.356069178670978</v>
      </c>
      <c r="P584" s="310">
        <f t="shared" ca="1" si="279"/>
        <v>23</v>
      </c>
      <c r="Q584" s="304">
        <f t="shared" ca="1" si="280"/>
        <v>0</v>
      </c>
      <c r="R584" s="306">
        <f t="shared" ca="1" si="281"/>
        <v>0</v>
      </c>
      <c r="S584" s="307">
        <f t="shared" ca="1" si="282"/>
        <v>7.9769999999999968</v>
      </c>
      <c r="T584" s="304">
        <f t="shared" ca="1" si="262"/>
        <v>78.254369999999966</v>
      </c>
      <c r="U584" s="311">
        <f t="shared" ca="1" si="263"/>
        <v>0</v>
      </c>
      <c r="V584" s="306">
        <f t="shared" ca="1" si="264"/>
        <v>1.2253859767879038</v>
      </c>
      <c r="W584" s="304">
        <f t="shared" ca="1" si="265"/>
        <v>59.166308644046914</v>
      </c>
      <c r="Y584" s="314" t="str">
        <f t="shared" ca="1" si="283"/>
        <v/>
      </c>
      <c r="Z584" s="315" t="str">
        <f t="shared" ca="1" si="284"/>
        <v/>
      </c>
      <c r="AA584" s="316" t="str">
        <f t="shared" ca="1" si="285"/>
        <v/>
      </c>
      <c r="AC584" s="310" t="e">
        <f t="shared" ca="1" si="286"/>
        <v>#N/A</v>
      </c>
      <c r="AD584" s="323" t="e">
        <f t="shared" ca="1" si="287"/>
        <v>#N/A</v>
      </c>
      <c r="AE584" s="324" t="e">
        <f t="shared" ca="1" si="266"/>
        <v>#N/A</v>
      </c>
      <c r="AG584" s="306">
        <f t="shared" ca="1" si="288"/>
        <v>2.34536808633968</v>
      </c>
      <c r="AH584" s="304">
        <f t="shared" ca="1" si="289"/>
        <v>-7.4170750790817737</v>
      </c>
    </row>
    <row r="585" spans="1:34" x14ac:dyDescent="0.2">
      <c r="A585" s="347">
        <f t="shared" ca="1" si="267"/>
        <v>1E-4</v>
      </c>
      <c r="B585" s="304">
        <f t="shared" ca="1" si="268"/>
        <v>33.606500000000423</v>
      </c>
      <c r="D585" s="306">
        <f t="shared" ca="1" si="269"/>
        <v>-0.72944299623655973</v>
      </c>
      <c r="E585" s="307">
        <f t="shared" ca="1" si="270"/>
        <v>-2.4288432544256846</v>
      </c>
      <c r="F585" s="304">
        <f t="shared" ca="1" si="271"/>
        <v>2.5360139272740048</v>
      </c>
      <c r="G585" s="306">
        <f t="shared" ca="1" si="272"/>
        <v>11.890162219483265</v>
      </c>
      <c r="H585" s="307">
        <f t="shared" ca="1" si="273"/>
        <v>-120.31627845999517</v>
      </c>
      <c r="I585" s="304">
        <f t="shared" ca="1" si="274"/>
        <v>120.90236895970536</v>
      </c>
      <c r="J585" s="306">
        <f t="shared" ca="1" si="275"/>
        <v>755.70453742140728</v>
      </c>
      <c r="K585" s="307">
        <f t="shared" ca="1" si="276"/>
        <v>-3.1623662287776915</v>
      </c>
      <c r="L585" s="304">
        <f t="shared" ca="1" si="261"/>
        <v>755.7111541055009</v>
      </c>
      <c r="M585" s="306">
        <f t="shared" ca="1" si="277"/>
        <v>-1.4722919491854669</v>
      </c>
      <c r="N585" s="304">
        <f t="shared" ca="1" si="278"/>
        <v>-84.35611489941671</v>
      </c>
      <c r="P585" s="310">
        <f t="shared" ca="1" si="279"/>
        <v>23</v>
      </c>
      <c r="Q585" s="304">
        <f t="shared" ca="1" si="280"/>
        <v>0</v>
      </c>
      <c r="R585" s="306">
        <f t="shared" ca="1" si="281"/>
        <v>0</v>
      </c>
      <c r="S585" s="307">
        <f t="shared" ca="1" si="282"/>
        <v>7.9769999999999968</v>
      </c>
      <c r="T585" s="304">
        <f t="shared" ca="1" si="262"/>
        <v>78.254369999999966</v>
      </c>
      <c r="U585" s="311">
        <f t="shared" ca="1" si="263"/>
        <v>0</v>
      </c>
      <c r="V585" s="306">
        <f t="shared" ca="1" si="264"/>
        <v>1.2253874511261433</v>
      </c>
      <c r="W585" s="304">
        <f t="shared" ca="1" si="265"/>
        <v>59.166609379870977</v>
      </c>
      <c r="Y585" s="314" t="str">
        <f t="shared" ca="1" si="283"/>
        <v/>
      </c>
      <c r="Z585" s="315" t="str">
        <f t="shared" ca="1" si="284"/>
        <v/>
      </c>
      <c r="AA585" s="316" t="str">
        <f t="shared" ca="1" si="285"/>
        <v/>
      </c>
      <c r="AC585" s="310" t="e">
        <f t="shared" ca="1" si="286"/>
        <v>#N/A</v>
      </c>
      <c r="AD585" s="323" t="e">
        <f t="shared" ca="1" si="287"/>
        <v>#N/A</v>
      </c>
      <c r="AE585" s="324" t="e">
        <f t="shared" ca="1" si="266"/>
        <v>#N/A</v>
      </c>
      <c r="AG585" s="306">
        <f t="shared" ca="1" si="288"/>
        <v>2.3453311555524312</v>
      </c>
      <c r="AH585" s="304">
        <f t="shared" ca="1" si="289"/>
        <v>-7.4171127797476419</v>
      </c>
    </row>
    <row r="586" spans="1:34" x14ac:dyDescent="0.2">
      <c r="A586" s="347">
        <f t="shared" ca="1" si="267"/>
        <v>1E-4</v>
      </c>
      <c r="B586" s="304">
        <f t="shared" ca="1" si="268"/>
        <v>33.606600000000427</v>
      </c>
      <c r="D586" s="306">
        <f t="shared" ca="1" si="269"/>
        <v>-0.72944081388734883</v>
      </c>
      <c r="E586" s="307">
        <f t="shared" ca="1" si="270"/>
        <v>-2.428805154739937</v>
      </c>
      <c r="F586" s="304">
        <f t="shared" ca="1" si="271"/>
        <v>2.5359768099602031</v>
      </c>
      <c r="G586" s="306">
        <f t="shared" ca="1" si="272"/>
        <v>11.890089275401877</v>
      </c>
      <c r="H586" s="307">
        <f t="shared" ca="1" si="273"/>
        <v>-120.31652134051065</v>
      </c>
      <c r="I586" s="304">
        <f t="shared" ca="1" si="274"/>
        <v>120.90260348916635</v>
      </c>
      <c r="J586" s="306">
        <f t="shared" ca="1" si="275"/>
        <v>755.70453742140728</v>
      </c>
      <c r="K586" s="307">
        <f t="shared" ca="1" si="276"/>
        <v>-3.1743978687677168</v>
      </c>
      <c r="L586" s="304">
        <f t="shared" ca="1" si="261"/>
        <v>755.71120454915342</v>
      </c>
      <c r="M586" s="306">
        <f t="shared" ca="1" si="277"/>
        <v>-1.4722927471550251</v>
      </c>
      <c r="N586" s="304">
        <f t="shared" ca="1" si="278"/>
        <v>-84.356160619704582</v>
      </c>
      <c r="P586" s="310">
        <f t="shared" ca="1" si="279"/>
        <v>23</v>
      </c>
      <c r="Q586" s="304">
        <f t="shared" ca="1" si="280"/>
        <v>0</v>
      </c>
      <c r="R586" s="306">
        <f t="shared" ca="1" si="281"/>
        <v>0</v>
      </c>
      <c r="S586" s="307">
        <f t="shared" ca="1" si="282"/>
        <v>7.9769999999999968</v>
      </c>
      <c r="T586" s="304">
        <f t="shared" ca="1" si="262"/>
        <v>78.254369999999966</v>
      </c>
      <c r="U586" s="311">
        <f t="shared" ca="1" si="263"/>
        <v>0</v>
      </c>
      <c r="V586" s="306">
        <f t="shared" ca="1" si="264"/>
        <v>1.225388925469133</v>
      </c>
      <c r="W586" s="304">
        <f t="shared" ca="1" si="265"/>
        <v>59.166910113307452</v>
      </c>
      <c r="Y586" s="314" t="str">
        <f t="shared" ca="1" si="283"/>
        <v/>
      </c>
      <c r="Z586" s="315" t="str">
        <f t="shared" ca="1" si="284"/>
        <v/>
      </c>
      <c r="AA586" s="316" t="str">
        <f t="shared" ca="1" si="285"/>
        <v/>
      </c>
      <c r="AC586" s="310" t="e">
        <f t="shared" ca="1" si="286"/>
        <v>#N/A</v>
      </c>
      <c r="AD586" s="323" t="e">
        <f t="shared" ca="1" si="287"/>
        <v>#N/A</v>
      </c>
      <c r="AE586" s="324" t="e">
        <f t="shared" ca="1" si="266"/>
        <v>#N/A</v>
      </c>
      <c r="AG586" s="306">
        <f t="shared" ca="1" si="288"/>
        <v>2.345294225050564</v>
      </c>
      <c r="AH586" s="304">
        <f t="shared" ca="1" si="289"/>
        <v>-7.4171504801142039</v>
      </c>
    </row>
    <row r="587" spans="1:34" x14ac:dyDescent="0.2">
      <c r="A587" s="347">
        <f t="shared" ca="1" si="267"/>
        <v>1E-4</v>
      </c>
      <c r="B587" s="304">
        <f t="shared" ca="1" si="268"/>
        <v>33.60670000000043</v>
      </c>
      <c r="D587" s="306">
        <f t="shared" ca="1" si="269"/>
        <v>-0.72943863150734789</v>
      </c>
      <c r="E587" s="307">
        <f t="shared" ca="1" si="270"/>
        <v>-2.4287670553566612</v>
      </c>
      <c r="F587" s="304">
        <f t="shared" ca="1" si="271"/>
        <v>2.5359396929582494</v>
      </c>
      <c r="G587" s="306">
        <f t="shared" ca="1" si="272"/>
        <v>11.890016331538726</v>
      </c>
      <c r="H587" s="307">
        <f t="shared" ca="1" si="273"/>
        <v>-120.31676421721619</v>
      </c>
      <c r="I587" s="304">
        <f t="shared" ca="1" si="274"/>
        <v>120.90283801493433</v>
      </c>
      <c r="J587" s="306">
        <f t="shared" ca="1" si="275"/>
        <v>755.70453742140728</v>
      </c>
      <c r="K587" s="307">
        <f t="shared" ca="1" si="276"/>
        <v>-3.1864295330456032</v>
      </c>
      <c r="L587" s="304">
        <f t="shared" ca="1" si="261"/>
        <v>755.71125518446013</v>
      </c>
      <c r="M587" s="306">
        <f t="shared" ca="1" si="277"/>
        <v>-1.4722935451165919</v>
      </c>
      <c r="N587" s="304">
        <f t="shared" ca="1" si="278"/>
        <v>-84.356206339534566</v>
      </c>
      <c r="P587" s="310">
        <f t="shared" ca="1" si="279"/>
        <v>23</v>
      </c>
      <c r="Q587" s="304">
        <f t="shared" ca="1" si="280"/>
        <v>0</v>
      </c>
      <c r="R587" s="306">
        <f t="shared" ca="1" si="281"/>
        <v>0</v>
      </c>
      <c r="S587" s="307">
        <f t="shared" ca="1" si="282"/>
        <v>7.9769999999999968</v>
      </c>
      <c r="T587" s="304">
        <f t="shared" ca="1" si="262"/>
        <v>78.254369999999966</v>
      </c>
      <c r="U587" s="311">
        <f t="shared" ca="1" si="263"/>
        <v>0</v>
      </c>
      <c r="V587" s="306">
        <f t="shared" ca="1" si="264"/>
        <v>1.2253903998168734</v>
      </c>
      <c r="W587" s="304">
        <f t="shared" ca="1" si="265"/>
        <v>59.167210844356411</v>
      </c>
      <c r="Y587" s="314" t="str">
        <f t="shared" ca="1" si="283"/>
        <v/>
      </c>
      <c r="Z587" s="315" t="str">
        <f t="shared" ca="1" si="284"/>
        <v/>
      </c>
      <c r="AA587" s="316" t="str">
        <f t="shared" ca="1" si="285"/>
        <v/>
      </c>
      <c r="AC587" s="310" t="e">
        <f t="shared" ca="1" si="286"/>
        <v>#N/A</v>
      </c>
      <c r="AD587" s="323" t="e">
        <f t="shared" ca="1" si="287"/>
        <v>#N/A</v>
      </c>
      <c r="AE587" s="324" t="e">
        <f t="shared" ca="1" si="266"/>
        <v>#N/A</v>
      </c>
      <c r="AG587" s="306">
        <f t="shared" ca="1" si="288"/>
        <v>2.3452572948340782</v>
      </c>
      <c r="AH587" s="304">
        <f t="shared" ca="1" si="289"/>
        <v>-7.4171881801814559</v>
      </c>
    </row>
    <row r="588" spans="1:34" x14ac:dyDescent="0.2">
      <c r="A588" s="347">
        <f t="shared" ca="1" si="267"/>
        <v>1E-4</v>
      </c>
      <c r="B588" s="304">
        <f t="shared" ca="1" si="268"/>
        <v>33.606800000000433</v>
      </c>
      <c r="D588" s="306">
        <f t="shared" ca="1" si="269"/>
        <v>-0.72943644909655958</v>
      </c>
      <c r="E588" s="307">
        <f t="shared" ca="1" si="270"/>
        <v>-2.4287289562758456</v>
      </c>
      <c r="F588" s="304">
        <f t="shared" ca="1" si="271"/>
        <v>2.5359025762681333</v>
      </c>
      <c r="G588" s="306">
        <f t="shared" ca="1" si="272"/>
        <v>11.889943387893817</v>
      </c>
      <c r="H588" s="307">
        <f t="shared" ca="1" si="273"/>
        <v>-120.31700709011182</v>
      </c>
      <c r="I588" s="304">
        <f t="shared" ca="1" si="274"/>
        <v>120.90307253700932</v>
      </c>
      <c r="J588" s="306">
        <f t="shared" ca="1" si="275"/>
        <v>755.70453742140728</v>
      </c>
      <c r="K588" s="307">
        <f t="shared" ca="1" si="276"/>
        <v>-3.1984612216109696</v>
      </c>
      <c r="L588" s="304">
        <f t="shared" ca="1" si="261"/>
        <v>755.71130601142215</v>
      </c>
      <c r="M588" s="306">
        <f t="shared" ca="1" si="277"/>
        <v>-1.472294343070168</v>
      </c>
      <c r="N588" s="304">
        <f t="shared" ca="1" si="278"/>
        <v>-84.356252058906733</v>
      </c>
      <c r="P588" s="310">
        <f t="shared" ca="1" si="279"/>
        <v>23</v>
      </c>
      <c r="Q588" s="304">
        <f t="shared" ca="1" si="280"/>
        <v>0</v>
      </c>
      <c r="R588" s="306">
        <f t="shared" ca="1" si="281"/>
        <v>0</v>
      </c>
      <c r="S588" s="307">
        <f t="shared" ca="1" si="282"/>
        <v>7.9769999999999968</v>
      </c>
      <c r="T588" s="304">
        <f t="shared" ca="1" si="262"/>
        <v>78.254369999999966</v>
      </c>
      <c r="U588" s="311">
        <f t="shared" ca="1" si="263"/>
        <v>0</v>
      </c>
      <c r="V588" s="306">
        <f t="shared" ca="1" si="264"/>
        <v>1.2253918741693641</v>
      </c>
      <c r="W588" s="304">
        <f t="shared" ca="1" si="265"/>
        <v>59.167511573017798</v>
      </c>
      <c r="Y588" s="314" t="str">
        <f t="shared" ca="1" si="283"/>
        <v/>
      </c>
      <c r="Z588" s="315" t="str">
        <f t="shared" ca="1" si="284"/>
        <v/>
      </c>
      <c r="AA588" s="316" t="str">
        <f t="shared" ca="1" si="285"/>
        <v/>
      </c>
      <c r="AC588" s="310" t="e">
        <f t="shared" ca="1" si="286"/>
        <v>#N/A</v>
      </c>
      <c r="AD588" s="323" t="e">
        <f t="shared" ca="1" si="287"/>
        <v>#N/A</v>
      </c>
      <c r="AE588" s="324" t="e">
        <f t="shared" ca="1" si="266"/>
        <v>#N/A</v>
      </c>
      <c r="AG588" s="306">
        <f t="shared" ca="1" si="288"/>
        <v>2.3452203649029668</v>
      </c>
      <c r="AH588" s="304">
        <f t="shared" ca="1" si="289"/>
        <v>-7.4172258799494086</v>
      </c>
    </row>
    <row r="589" spans="1:34" x14ac:dyDescent="0.2">
      <c r="A589" s="347">
        <f t="shared" ca="1" si="267"/>
        <v>1E-4</v>
      </c>
      <c r="B589" s="304">
        <f t="shared" ca="1" si="268"/>
        <v>33.606900000000437</v>
      </c>
      <c r="D589" s="306">
        <f t="shared" ca="1" si="269"/>
        <v>-0.72943426665498001</v>
      </c>
      <c r="E589" s="307">
        <f t="shared" ca="1" si="270"/>
        <v>-2.4286908574974966</v>
      </c>
      <c r="F589" s="304">
        <f t="shared" ca="1" si="271"/>
        <v>2.5358654598898607</v>
      </c>
      <c r="G589" s="306">
        <f t="shared" ca="1" si="272"/>
        <v>11.889870444467151</v>
      </c>
      <c r="H589" s="307">
        <f t="shared" ca="1" si="273"/>
        <v>-120.31724995919757</v>
      </c>
      <c r="I589" s="304">
        <f t="shared" ca="1" si="274"/>
        <v>120.90330705539134</v>
      </c>
      <c r="J589" s="306">
        <f t="shared" ca="1" si="275"/>
        <v>755.70453742140728</v>
      </c>
      <c r="K589" s="307">
        <f t="shared" ca="1" si="276"/>
        <v>-3.210492934463435</v>
      </c>
      <c r="L589" s="304">
        <f t="shared" ca="1" si="261"/>
        <v>755.71135703004052</v>
      </c>
      <c r="M589" s="306">
        <f t="shared" ca="1" si="277"/>
        <v>-1.472295141015753</v>
      </c>
      <c r="N589" s="304">
        <f t="shared" ca="1" si="278"/>
        <v>-84.356297777821027</v>
      </c>
      <c r="P589" s="310">
        <f t="shared" ca="1" si="279"/>
        <v>23</v>
      </c>
      <c r="Q589" s="304">
        <f t="shared" ca="1" si="280"/>
        <v>0</v>
      </c>
      <c r="R589" s="306">
        <f t="shared" ca="1" si="281"/>
        <v>0</v>
      </c>
      <c r="S589" s="307">
        <f t="shared" ca="1" si="282"/>
        <v>7.9769999999999968</v>
      </c>
      <c r="T589" s="304">
        <f t="shared" ca="1" si="262"/>
        <v>78.254369999999966</v>
      </c>
      <c r="U589" s="311">
        <f t="shared" ca="1" si="263"/>
        <v>0</v>
      </c>
      <c r="V589" s="306">
        <f t="shared" ca="1" si="264"/>
        <v>1.2253933485266051</v>
      </c>
      <c r="W589" s="304">
        <f t="shared" ca="1" si="265"/>
        <v>59.167812299291619</v>
      </c>
      <c r="Y589" s="314" t="str">
        <f t="shared" ca="1" si="283"/>
        <v/>
      </c>
      <c r="Z589" s="315" t="str">
        <f t="shared" ca="1" si="284"/>
        <v/>
      </c>
      <c r="AA589" s="316" t="str">
        <f t="shared" ca="1" si="285"/>
        <v/>
      </c>
      <c r="AC589" s="310" t="e">
        <f t="shared" ca="1" si="286"/>
        <v>#N/A</v>
      </c>
      <c r="AD589" s="323" t="e">
        <f t="shared" ca="1" si="287"/>
        <v>#N/A</v>
      </c>
      <c r="AE589" s="324" t="e">
        <f t="shared" ca="1" si="266"/>
        <v>#N/A</v>
      </c>
      <c r="AG589" s="306">
        <f t="shared" ca="1" si="288"/>
        <v>2.3451834352572369</v>
      </c>
      <c r="AH589" s="304">
        <f t="shared" ca="1" si="289"/>
        <v>-7.417263579418055</v>
      </c>
    </row>
    <row r="590" spans="1:34" x14ac:dyDescent="0.2">
      <c r="A590" s="347">
        <f t="shared" ca="1" si="267"/>
        <v>1E-4</v>
      </c>
      <c r="B590" s="304">
        <f t="shared" ca="1" si="268"/>
        <v>33.60700000000044</v>
      </c>
      <c r="D590" s="306">
        <f t="shared" ca="1" si="269"/>
        <v>-0.72943208418261374</v>
      </c>
      <c r="E590" s="307">
        <f t="shared" ca="1" si="270"/>
        <v>-2.4286527590216167</v>
      </c>
      <c r="F590" s="304">
        <f t="shared" ca="1" si="271"/>
        <v>2.5358283438234346</v>
      </c>
      <c r="G590" s="306">
        <f t="shared" ca="1" si="272"/>
        <v>11.889797501258734</v>
      </c>
      <c r="H590" s="307">
        <f t="shared" ca="1" si="273"/>
        <v>-120.31749282447348</v>
      </c>
      <c r="I590" s="304">
        <f t="shared" ca="1" si="274"/>
        <v>120.90354157008042</v>
      </c>
      <c r="J590" s="306">
        <f t="shared" ca="1" si="275"/>
        <v>755.70453742140728</v>
      </c>
      <c r="K590" s="307">
        <f t="shared" ca="1" si="276"/>
        <v>-3.2225246716026184</v>
      </c>
      <c r="L590" s="304">
        <f t="shared" ca="1" si="261"/>
        <v>755.71140824031647</v>
      </c>
      <c r="M590" s="306">
        <f t="shared" ca="1" si="277"/>
        <v>-1.472295938953347</v>
      </c>
      <c r="N590" s="304">
        <f t="shared" ca="1" si="278"/>
        <v>-84.356343496277475</v>
      </c>
      <c r="P590" s="310">
        <f t="shared" ca="1" si="279"/>
        <v>23</v>
      </c>
      <c r="Q590" s="304">
        <f t="shared" ca="1" si="280"/>
        <v>0</v>
      </c>
      <c r="R590" s="306">
        <f t="shared" ca="1" si="281"/>
        <v>0</v>
      </c>
      <c r="S590" s="307">
        <f t="shared" ca="1" si="282"/>
        <v>7.9769999999999968</v>
      </c>
      <c r="T590" s="304">
        <f t="shared" ca="1" si="262"/>
        <v>78.254369999999966</v>
      </c>
      <c r="U590" s="311">
        <f t="shared" ca="1" si="263"/>
        <v>0</v>
      </c>
      <c r="V590" s="306">
        <f t="shared" ca="1" si="264"/>
        <v>1.2253948228885967</v>
      </c>
      <c r="W590" s="304">
        <f t="shared" ca="1" si="265"/>
        <v>59.168113023177881</v>
      </c>
      <c r="Y590" s="314" t="str">
        <f t="shared" ca="1" si="283"/>
        <v/>
      </c>
      <c r="Z590" s="315" t="str">
        <f t="shared" ca="1" si="284"/>
        <v/>
      </c>
      <c r="AA590" s="316" t="str">
        <f t="shared" ca="1" si="285"/>
        <v/>
      </c>
      <c r="AC590" s="310" t="e">
        <f t="shared" ca="1" si="286"/>
        <v>#N/A</v>
      </c>
      <c r="AD590" s="323" t="e">
        <f t="shared" ca="1" si="287"/>
        <v>#N/A</v>
      </c>
      <c r="AE590" s="324" t="e">
        <f t="shared" ca="1" si="266"/>
        <v>#N/A</v>
      </c>
      <c r="AG590" s="306">
        <f t="shared" ca="1" si="288"/>
        <v>2.3451465058968877</v>
      </c>
      <c r="AH590" s="304">
        <f t="shared" ca="1" si="289"/>
        <v>-7.4173012785873942</v>
      </c>
    </row>
    <row r="591" spans="1:34" x14ac:dyDescent="0.2">
      <c r="A591" s="347">
        <f t="shared" ca="1" si="267"/>
        <v>1E-4</v>
      </c>
      <c r="B591" s="304">
        <f t="shared" ca="1" si="268"/>
        <v>33.607100000000443</v>
      </c>
      <c r="D591" s="306">
        <f t="shared" ca="1" si="269"/>
        <v>-0.72942990167946109</v>
      </c>
      <c r="E591" s="307">
        <f t="shared" ca="1" si="270"/>
        <v>-2.4286146608482033</v>
      </c>
      <c r="F591" s="304">
        <f t="shared" ca="1" si="271"/>
        <v>2.5357912280688533</v>
      </c>
      <c r="G591" s="306">
        <f t="shared" ca="1" si="272"/>
        <v>11.889724558268567</v>
      </c>
      <c r="H591" s="307">
        <f t="shared" ca="1" si="273"/>
        <v>-120.31773568593957</v>
      </c>
      <c r="I591" s="304">
        <f t="shared" ca="1" si="274"/>
        <v>120.9037760810766</v>
      </c>
      <c r="J591" s="306">
        <f t="shared" ca="1" si="275"/>
        <v>755.70453742140728</v>
      </c>
      <c r="K591" s="307">
        <f t="shared" ca="1" si="276"/>
        <v>-3.2345564330281391</v>
      </c>
      <c r="L591" s="304">
        <f t="shared" ca="1" si="261"/>
        <v>755.71145964225104</v>
      </c>
      <c r="M591" s="306">
        <f t="shared" ca="1" si="277"/>
        <v>-1.4722967368829505</v>
      </c>
      <c r="N591" s="304">
        <f t="shared" ca="1" si="278"/>
        <v>-84.356389214276106</v>
      </c>
      <c r="P591" s="310">
        <f t="shared" ca="1" si="279"/>
        <v>23</v>
      </c>
      <c r="Q591" s="304">
        <f t="shared" ca="1" si="280"/>
        <v>0</v>
      </c>
      <c r="R591" s="306">
        <f t="shared" ca="1" si="281"/>
        <v>0</v>
      </c>
      <c r="S591" s="307">
        <f t="shared" ca="1" si="282"/>
        <v>7.9769999999999968</v>
      </c>
      <c r="T591" s="304">
        <f t="shared" ca="1" si="262"/>
        <v>78.254369999999966</v>
      </c>
      <c r="U591" s="311">
        <f t="shared" ca="1" si="263"/>
        <v>0</v>
      </c>
      <c r="V591" s="306">
        <f t="shared" ca="1" si="264"/>
        <v>1.2253962972553378</v>
      </c>
      <c r="W591" s="304">
        <f t="shared" ca="1" si="265"/>
        <v>59.168413744676556</v>
      </c>
      <c r="Y591" s="314" t="str">
        <f t="shared" ca="1" si="283"/>
        <v/>
      </c>
      <c r="Z591" s="315" t="str">
        <f t="shared" ca="1" si="284"/>
        <v/>
      </c>
      <c r="AA591" s="316" t="str">
        <f t="shared" ca="1" si="285"/>
        <v/>
      </c>
      <c r="AC591" s="310" t="e">
        <f t="shared" ca="1" si="286"/>
        <v>#N/A</v>
      </c>
      <c r="AD591" s="323" t="e">
        <f t="shared" ca="1" si="287"/>
        <v>#N/A</v>
      </c>
      <c r="AE591" s="324" t="e">
        <f t="shared" ca="1" si="266"/>
        <v>#N/A</v>
      </c>
      <c r="AG591" s="306">
        <f t="shared" ca="1" si="288"/>
        <v>2.3451095768219208</v>
      </c>
      <c r="AH591" s="304">
        <f t="shared" ca="1" si="289"/>
        <v>-7.4173389774574279</v>
      </c>
    </row>
    <row r="592" spans="1:34" x14ac:dyDescent="0.2">
      <c r="A592" s="347">
        <f t="shared" ca="1" si="267"/>
        <v>1E-4</v>
      </c>
      <c r="B592" s="304">
        <f t="shared" ca="1" si="268"/>
        <v>33.607200000000446</v>
      </c>
      <c r="D592" s="306">
        <f t="shared" ca="1" si="269"/>
        <v>-0.72942771914552007</v>
      </c>
      <c r="E592" s="307">
        <f t="shared" ca="1" si="270"/>
        <v>-2.4285765629772591</v>
      </c>
      <c r="F592" s="304">
        <f t="shared" ca="1" si="271"/>
        <v>2.5357541126261185</v>
      </c>
      <c r="G592" s="306">
        <f t="shared" ca="1" si="272"/>
        <v>11.889651615496652</v>
      </c>
      <c r="H592" s="307">
        <f t="shared" ca="1" si="273"/>
        <v>-120.31797854359587</v>
      </c>
      <c r="I592" s="304">
        <f t="shared" ca="1" si="274"/>
        <v>120.90401058837989</v>
      </c>
      <c r="J592" s="306">
        <f t="shared" ca="1" si="275"/>
        <v>755.70453742140728</v>
      </c>
      <c r="K592" s="307">
        <f t="shared" ca="1" si="276"/>
        <v>-3.2465882187396158</v>
      </c>
      <c r="L592" s="304">
        <f t="shared" ca="1" si="261"/>
        <v>755.71151123584536</v>
      </c>
      <c r="M592" s="306">
        <f t="shared" ca="1" si="277"/>
        <v>-1.4722975348045633</v>
      </c>
      <c r="N592" s="304">
        <f t="shared" ca="1" si="278"/>
        <v>-84.356434931816906</v>
      </c>
      <c r="P592" s="310">
        <f t="shared" ca="1" si="279"/>
        <v>23</v>
      </c>
      <c r="Q592" s="304">
        <f t="shared" ca="1" si="280"/>
        <v>0</v>
      </c>
      <c r="R592" s="306">
        <f t="shared" ca="1" si="281"/>
        <v>0</v>
      </c>
      <c r="S592" s="307">
        <f t="shared" ca="1" si="282"/>
        <v>7.9769999999999968</v>
      </c>
      <c r="T592" s="304">
        <f t="shared" ca="1" si="262"/>
        <v>78.254369999999966</v>
      </c>
      <c r="U592" s="311">
        <f t="shared" ca="1" si="263"/>
        <v>0</v>
      </c>
      <c r="V592" s="306">
        <f t="shared" ca="1" si="264"/>
        <v>1.2253977716268296</v>
      </c>
      <c r="W592" s="304">
        <f t="shared" ca="1" si="265"/>
        <v>59.168714463787673</v>
      </c>
      <c r="Y592" s="314" t="str">
        <f t="shared" ca="1" si="283"/>
        <v/>
      </c>
      <c r="Z592" s="315" t="str">
        <f t="shared" ca="1" si="284"/>
        <v/>
      </c>
      <c r="AA592" s="316" t="str">
        <f t="shared" ca="1" si="285"/>
        <v/>
      </c>
      <c r="AC592" s="310" t="e">
        <f t="shared" ca="1" si="286"/>
        <v>#N/A</v>
      </c>
      <c r="AD592" s="323" t="e">
        <f t="shared" ca="1" si="287"/>
        <v>#N/A</v>
      </c>
      <c r="AE592" s="324" t="e">
        <f t="shared" ca="1" si="266"/>
        <v>#N/A</v>
      </c>
      <c r="AG592" s="306">
        <f t="shared" ca="1" si="288"/>
        <v>2.3450726480323372</v>
      </c>
      <c r="AH592" s="304">
        <f t="shared" ca="1" si="289"/>
        <v>-7.4173766760281534</v>
      </c>
    </row>
    <row r="593" spans="1:34" x14ac:dyDescent="0.2">
      <c r="A593" s="347">
        <f t="shared" ca="1" si="267"/>
        <v>1E-4</v>
      </c>
      <c r="B593" s="304">
        <f t="shared" ca="1" si="268"/>
        <v>33.60730000000045</v>
      </c>
      <c r="D593" s="306">
        <f t="shared" ca="1" si="269"/>
        <v>-0.72942553658079423</v>
      </c>
      <c r="E593" s="307">
        <f t="shared" ca="1" si="270"/>
        <v>-2.4285384654087814</v>
      </c>
      <c r="F593" s="304">
        <f t="shared" ca="1" si="271"/>
        <v>2.5357169974952289</v>
      </c>
      <c r="G593" s="306">
        <f t="shared" ca="1" si="272"/>
        <v>11.889578672942994</v>
      </c>
      <c r="H593" s="307">
        <f t="shared" ca="1" si="273"/>
        <v>-120.31822139744241</v>
      </c>
      <c r="I593" s="304">
        <f t="shared" ca="1" si="274"/>
        <v>120.90424509199033</v>
      </c>
      <c r="J593" s="306">
        <f t="shared" ca="1" si="275"/>
        <v>755.70453742140728</v>
      </c>
      <c r="K593" s="307">
        <f t="shared" ca="1" si="276"/>
        <v>-3.2586200287366678</v>
      </c>
      <c r="L593" s="304">
        <f t="shared" ca="1" si="261"/>
        <v>755.71156302110057</v>
      </c>
      <c r="M593" s="306">
        <f t="shared" ca="1" si="277"/>
        <v>-1.4722983327181856</v>
      </c>
      <c r="N593" s="304">
        <f t="shared" ca="1" si="278"/>
        <v>-84.356480648899876</v>
      </c>
      <c r="P593" s="310">
        <f t="shared" ca="1" si="279"/>
        <v>23</v>
      </c>
      <c r="Q593" s="304">
        <f t="shared" ca="1" si="280"/>
        <v>0</v>
      </c>
      <c r="R593" s="306">
        <f t="shared" ca="1" si="281"/>
        <v>0</v>
      </c>
      <c r="S593" s="307">
        <f t="shared" ca="1" si="282"/>
        <v>7.9769999999999968</v>
      </c>
      <c r="T593" s="304">
        <f t="shared" ca="1" si="262"/>
        <v>78.254369999999966</v>
      </c>
      <c r="U593" s="311">
        <f t="shared" ca="1" si="263"/>
        <v>0</v>
      </c>
      <c r="V593" s="306">
        <f t="shared" ca="1" si="264"/>
        <v>1.2253992460030714</v>
      </c>
      <c r="W593" s="304">
        <f t="shared" ca="1" si="265"/>
        <v>59.169015180511195</v>
      </c>
      <c r="Y593" s="314" t="str">
        <f t="shared" ca="1" si="283"/>
        <v/>
      </c>
      <c r="Z593" s="315" t="str">
        <f t="shared" ca="1" si="284"/>
        <v/>
      </c>
      <c r="AA593" s="316" t="str">
        <f t="shared" ca="1" si="285"/>
        <v/>
      </c>
      <c r="AC593" s="310" t="e">
        <f t="shared" ca="1" si="286"/>
        <v>#N/A</v>
      </c>
      <c r="AD593" s="323" t="e">
        <f t="shared" ca="1" si="287"/>
        <v>#N/A</v>
      </c>
      <c r="AE593" s="324" t="e">
        <f t="shared" ca="1" si="266"/>
        <v>#N/A</v>
      </c>
      <c r="AG593" s="306">
        <f t="shared" ca="1" si="288"/>
        <v>2.3450357195281342</v>
      </c>
      <c r="AH593" s="304">
        <f t="shared" ca="1" si="289"/>
        <v>-7.4174143742995735</v>
      </c>
    </row>
    <row r="594" spans="1:34" x14ac:dyDescent="0.2">
      <c r="A594" s="347">
        <f t="shared" ca="1" si="267"/>
        <v>1E-4</v>
      </c>
      <c r="B594" s="304">
        <f t="shared" ca="1" si="268"/>
        <v>33.607400000000453</v>
      </c>
      <c r="D594" s="306">
        <f t="shared" ca="1" si="269"/>
        <v>-0.72942335398528313</v>
      </c>
      <c r="E594" s="307">
        <f t="shared" ca="1" si="270"/>
        <v>-2.4285003681427746</v>
      </c>
      <c r="F594" s="304">
        <f t="shared" ca="1" si="271"/>
        <v>2.535679882676189</v>
      </c>
      <c r="G594" s="306">
        <f t="shared" ca="1" si="272"/>
        <v>11.889505730607596</v>
      </c>
      <c r="H594" s="307">
        <f t="shared" ca="1" si="273"/>
        <v>-120.31846424747923</v>
      </c>
      <c r="I594" s="304">
        <f t="shared" ca="1" si="274"/>
        <v>120.90447959190796</v>
      </c>
      <c r="J594" s="306">
        <f t="shared" ca="1" si="275"/>
        <v>755.70453742140728</v>
      </c>
      <c r="K594" s="307">
        <f t="shared" ca="1" si="276"/>
        <v>-3.2706518630189141</v>
      </c>
      <c r="L594" s="304">
        <f t="shared" ca="1" si="261"/>
        <v>755.71161499801781</v>
      </c>
      <c r="M594" s="306">
        <f t="shared" ca="1" si="277"/>
        <v>-1.4722991306238176</v>
      </c>
      <c r="N594" s="304">
        <f t="shared" ca="1" si="278"/>
        <v>-84.356526365525042</v>
      </c>
      <c r="P594" s="310">
        <f t="shared" ca="1" si="279"/>
        <v>23</v>
      </c>
      <c r="Q594" s="304">
        <f t="shared" ca="1" si="280"/>
        <v>0</v>
      </c>
      <c r="R594" s="306">
        <f t="shared" ca="1" si="281"/>
        <v>0</v>
      </c>
      <c r="S594" s="307">
        <f t="shared" ca="1" si="282"/>
        <v>7.9769999999999968</v>
      </c>
      <c r="T594" s="304">
        <f t="shared" ca="1" si="262"/>
        <v>78.254369999999966</v>
      </c>
      <c r="U594" s="311">
        <f t="shared" ca="1" si="263"/>
        <v>0</v>
      </c>
      <c r="V594" s="306">
        <f t="shared" ca="1" si="264"/>
        <v>1.2254007203840636</v>
      </c>
      <c r="W594" s="304">
        <f t="shared" ca="1" si="265"/>
        <v>59.169315894847152</v>
      </c>
      <c r="Y594" s="314" t="str">
        <f t="shared" ca="1" si="283"/>
        <v/>
      </c>
      <c r="Z594" s="315" t="str">
        <f t="shared" ca="1" si="284"/>
        <v/>
      </c>
      <c r="AA594" s="316" t="str">
        <f t="shared" ca="1" si="285"/>
        <v/>
      </c>
      <c r="AC594" s="310" t="e">
        <f t="shared" ca="1" si="286"/>
        <v>#N/A</v>
      </c>
      <c r="AD594" s="323" t="e">
        <f t="shared" ca="1" si="287"/>
        <v>#N/A</v>
      </c>
      <c r="AE594" s="324" t="e">
        <f t="shared" ca="1" si="266"/>
        <v>#N/A</v>
      </c>
      <c r="AG594" s="306">
        <f t="shared" ca="1" si="288"/>
        <v>2.3449987913093162</v>
      </c>
      <c r="AH594" s="304">
        <f t="shared" ca="1" si="289"/>
        <v>-7.4174520722716837</v>
      </c>
    </row>
    <row r="595" spans="1:34" x14ac:dyDescent="0.2">
      <c r="A595" s="347">
        <f t="shared" ca="1" si="267"/>
        <v>1E-4</v>
      </c>
      <c r="B595" s="304">
        <f t="shared" ca="1" si="268"/>
        <v>33.607500000000456</v>
      </c>
      <c r="D595" s="306">
        <f t="shared" ca="1" si="269"/>
        <v>-0.72942117135898721</v>
      </c>
      <c r="E595" s="307">
        <f t="shared" ca="1" si="270"/>
        <v>-2.4284622711792361</v>
      </c>
      <c r="F595" s="304">
        <f t="shared" ca="1" si="271"/>
        <v>2.5356427681689961</v>
      </c>
      <c r="G595" s="306">
        <f t="shared" ca="1" si="272"/>
        <v>11.88943278849046</v>
      </c>
      <c r="H595" s="307">
        <f t="shared" ca="1" si="273"/>
        <v>-120.31870709370635</v>
      </c>
      <c r="I595" s="304">
        <f t="shared" ca="1" si="274"/>
        <v>120.90471408813279</v>
      </c>
      <c r="J595" s="306">
        <f t="shared" ca="1" si="275"/>
        <v>755.70453742140728</v>
      </c>
      <c r="K595" s="307">
        <f t="shared" ca="1" si="276"/>
        <v>-3.2826837215859732</v>
      </c>
      <c r="L595" s="304">
        <f t="shared" ca="1" si="261"/>
        <v>755.71166716659809</v>
      </c>
      <c r="M595" s="306">
        <f t="shared" ca="1" si="277"/>
        <v>-1.4722999285214593</v>
      </c>
      <c r="N595" s="304">
        <f t="shared" ca="1" si="278"/>
        <v>-84.356572081692391</v>
      </c>
      <c r="P595" s="310">
        <f t="shared" ca="1" si="279"/>
        <v>23</v>
      </c>
      <c r="Q595" s="304">
        <f t="shared" ca="1" si="280"/>
        <v>0</v>
      </c>
      <c r="R595" s="306">
        <f t="shared" ca="1" si="281"/>
        <v>0</v>
      </c>
      <c r="S595" s="307">
        <f t="shared" ca="1" si="282"/>
        <v>7.9769999999999968</v>
      </c>
      <c r="T595" s="304">
        <f t="shared" ca="1" si="262"/>
        <v>78.254369999999966</v>
      </c>
      <c r="U595" s="311">
        <f t="shared" ca="1" si="263"/>
        <v>0</v>
      </c>
      <c r="V595" s="306">
        <f t="shared" ca="1" si="264"/>
        <v>1.2254021947698057</v>
      </c>
      <c r="W595" s="304">
        <f t="shared" ca="1" si="265"/>
        <v>59.169616606795515</v>
      </c>
      <c r="Y595" s="314" t="str">
        <f t="shared" ca="1" si="283"/>
        <v/>
      </c>
      <c r="Z595" s="315" t="str">
        <f t="shared" ca="1" si="284"/>
        <v/>
      </c>
      <c r="AA595" s="316" t="str">
        <f t="shared" ca="1" si="285"/>
        <v/>
      </c>
      <c r="AC595" s="310" t="e">
        <f t="shared" ca="1" si="286"/>
        <v>#N/A</v>
      </c>
      <c r="AD595" s="323" t="e">
        <f t="shared" ca="1" si="287"/>
        <v>#N/A</v>
      </c>
      <c r="AE595" s="324" t="e">
        <f t="shared" ca="1" si="266"/>
        <v>#N/A</v>
      </c>
      <c r="AG595" s="306">
        <f t="shared" ca="1" si="288"/>
        <v>2.3449618633758815</v>
      </c>
      <c r="AH595" s="304">
        <f t="shared" ca="1" si="289"/>
        <v>-7.4174897699444875</v>
      </c>
    </row>
    <row r="596" spans="1:34" x14ac:dyDescent="0.2">
      <c r="A596" s="347">
        <f t="shared" ca="1" si="267"/>
        <v>1E-4</v>
      </c>
      <c r="B596" s="304">
        <f t="shared" ca="1" si="268"/>
        <v>33.60760000000046</v>
      </c>
      <c r="D596" s="306">
        <f t="shared" ca="1" si="269"/>
        <v>-0.72941898870190747</v>
      </c>
      <c r="E596" s="307">
        <f t="shared" ca="1" si="270"/>
        <v>-2.4284241745181685</v>
      </c>
      <c r="F596" s="304">
        <f t="shared" ca="1" si="271"/>
        <v>2.5356056539736542</v>
      </c>
      <c r="G596" s="306">
        <f t="shared" ca="1" si="272"/>
        <v>11.88935984659159</v>
      </c>
      <c r="H596" s="307">
        <f t="shared" ca="1" si="273"/>
        <v>-120.3189499361238</v>
      </c>
      <c r="I596" s="304">
        <f t="shared" ca="1" si="274"/>
        <v>120.90494858066484</v>
      </c>
      <c r="J596" s="306">
        <f t="shared" ca="1" si="275"/>
        <v>755.70453742140728</v>
      </c>
      <c r="K596" s="307">
        <f t="shared" ca="1" si="276"/>
        <v>-3.2947156044374646</v>
      </c>
      <c r="L596" s="304">
        <f t="shared" ca="1" si="261"/>
        <v>755.71171952684267</v>
      </c>
      <c r="M596" s="306">
        <f t="shared" ca="1" si="277"/>
        <v>-1.472300726411111</v>
      </c>
      <c r="N596" s="304">
        <f t="shared" ca="1" si="278"/>
        <v>-84.356617797401952</v>
      </c>
      <c r="P596" s="310">
        <f t="shared" ca="1" si="279"/>
        <v>23</v>
      </c>
      <c r="Q596" s="304">
        <f t="shared" ca="1" si="280"/>
        <v>0</v>
      </c>
      <c r="R596" s="306">
        <f t="shared" ca="1" si="281"/>
        <v>0</v>
      </c>
      <c r="S596" s="307">
        <f t="shared" ca="1" si="282"/>
        <v>7.9769999999999968</v>
      </c>
      <c r="T596" s="304">
        <f t="shared" ca="1" si="262"/>
        <v>78.254369999999966</v>
      </c>
      <c r="U596" s="311">
        <f t="shared" ca="1" si="263"/>
        <v>0</v>
      </c>
      <c r="V596" s="306">
        <f t="shared" ca="1" si="264"/>
        <v>1.2254036691602979</v>
      </c>
      <c r="W596" s="304">
        <f t="shared" ca="1" si="265"/>
        <v>59.169917316356269</v>
      </c>
      <c r="Y596" s="314" t="str">
        <f t="shared" ca="1" si="283"/>
        <v/>
      </c>
      <c r="Z596" s="315" t="str">
        <f t="shared" ca="1" si="284"/>
        <v/>
      </c>
      <c r="AA596" s="316" t="str">
        <f t="shared" ca="1" si="285"/>
        <v/>
      </c>
      <c r="AC596" s="310" t="e">
        <f t="shared" ca="1" si="286"/>
        <v>#N/A</v>
      </c>
      <c r="AD596" s="323" t="e">
        <f t="shared" ca="1" si="287"/>
        <v>#N/A</v>
      </c>
      <c r="AE596" s="324" t="e">
        <f t="shared" ca="1" si="266"/>
        <v>#N/A</v>
      </c>
      <c r="AG596" s="306">
        <f t="shared" ca="1" si="288"/>
        <v>2.3449249357278354</v>
      </c>
      <c r="AH596" s="304">
        <f t="shared" ca="1" si="289"/>
        <v>-7.4175274673179814</v>
      </c>
    </row>
    <row r="597" spans="1:34" x14ac:dyDescent="0.2">
      <c r="A597" s="347">
        <f t="shared" ca="1" si="267"/>
        <v>1E-4</v>
      </c>
      <c r="B597" s="304">
        <f t="shared" ca="1" si="268"/>
        <v>33.607700000000463</v>
      </c>
      <c r="D597" s="306">
        <f t="shared" ca="1" si="269"/>
        <v>-0.72941680601404402</v>
      </c>
      <c r="E597" s="307">
        <f t="shared" ca="1" si="270"/>
        <v>-2.4283860781595719</v>
      </c>
      <c r="F597" s="304">
        <f t="shared" ca="1" si="271"/>
        <v>2.535568540090162</v>
      </c>
      <c r="G597" s="306">
        <f t="shared" ca="1" si="272"/>
        <v>11.889286904910989</v>
      </c>
      <c r="H597" s="307">
        <f t="shared" ca="1" si="273"/>
        <v>-120.31919277473162</v>
      </c>
      <c r="I597" s="304">
        <f t="shared" ca="1" si="274"/>
        <v>120.90518306950418</v>
      </c>
      <c r="J597" s="306">
        <f t="shared" ca="1" si="275"/>
        <v>755.70453742140728</v>
      </c>
      <c r="K597" s="307">
        <f t="shared" ca="1" si="276"/>
        <v>-3.3067475115730072</v>
      </c>
      <c r="L597" s="304">
        <f t="shared" ca="1" si="261"/>
        <v>755.71177207875257</v>
      </c>
      <c r="M597" s="306">
        <f t="shared" ca="1" si="277"/>
        <v>-1.4723015242927726</v>
      </c>
      <c r="N597" s="304">
        <f t="shared" ca="1" si="278"/>
        <v>-84.356663512653711</v>
      </c>
      <c r="P597" s="310">
        <f t="shared" ca="1" si="279"/>
        <v>23</v>
      </c>
      <c r="Q597" s="304">
        <f t="shared" ca="1" si="280"/>
        <v>0</v>
      </c>
      <c r="R597" s="306">
        <f t="shared" ca="1" si="281"/>
        <v>0</v>
      </c>
      <c r="S597" s="307">
        <f t="shared" ca="1" si="282"/>
        <v>7.9769999999999968</v>
      </c>
      <c r="T597" s="304">
        <f t="shared" ca="1" si="262"/>
        <v>78.254369999999966</v>
      </c>
      <c r="U597" s="311">
        <f t="shared" ca="1" si="263"/>
        <v>0</v>
      </c>
      <c r="V597" s="306">
        <f t="shared" ca="1" si="264"/>
        <v>1.2254051435555398</v>
      </c>
      <c r="W597" s="304">
        <f t="shared" ca="1" si="265"/>
        <v>59.170218023529458</v>
      </c>
      <c r="Y597" s="314" t="str">
        <f t="shared" ca="1" si="283"/>
        <v/>
      </c>
      <c r="Z597" s="315" t="str">
        <f t="shared" ca="1" si="284"/>
        <v/>
      </c>
      <c r="AA597" s="316" t="str">
        <f t="shared" ca="1" si="285"/>
        <v/>
      </c>
      <c r="AC597" s="310" t="e">
        <f t="shared" ca="1" si="286"/>
        <v>#N/A</v>
      </c>
      <c r="AD597" s="323" t="e">
        <f t="shared" ca="1" si="287"/>
        <v>#N/A</v>
      </c>
      <c r="AE597" s="324" t="e">
        <f t="shared" ca="1" si="266"/>
        <v>#N/A</v>
      </c>
      <c r="AG597" s="306">
        <f t="shared" ca="1" si="288"/>
        <v>2.3448880083651735</v>
      </c>
      <c r="AH597" s="304">
        <f t="shared" ca="1" si="289"/>
        <v>-7.4175651643921645</v>
      </c>
    </row>
    <row r="598" spans="1:34" x14ac:dyDescent="0.2">
      <c r="A598" s="347">
        <f t="shared" ca="1" si="267"/>
        <v>1E-4</v>
      </c>
      <c r="B598" s="304">
        <f t="shared" ca="1" si="268"/>
        <v>33.607800000000466</v>
      </c>
      <c r="D598" s="306">
        <f t="shared" ca="1" si="269"/>
        <v>-0.72941462329539886</v>
      </c>
      <c r="E598" s="307">
        <f t="shared" ca="1" si="270"/>
        <v>-2.4283479821034444</v>
      </c>
      <c r="F598" s="304">
        <f t="shared" ca="1" si="271"/>
        <v>2.5355314265185198</v>
      </c>
      <c r="G598" s="306">
        <f t="shared" ca="1" si="272"/>
        <v>11.889213963448659</v>
      </c>
      <c r="H598" s="307">
        <f t="shared" ca="1" si="273"/>
        <v>-120.31943560952983</v>
      </c>
      <c r="I598" s="304">
        <f t="shared" ca="1" si="274"/>
        <v>120.90541755465078</v>
      </c>
      <c r="J598" s="306">
        <f t="shared" ca="1" si="275"/>
        <v>755.70453742140728</v>
      </c>
      <c r="K598" s="307">
        <f t="shared" ca="1" si="276"/>
        <v>-3.3187794429922204</v>
      </c>
      <c r="L598" s="304">
        <f t="shared" ca="1" si="261"/>
        <v>755.71182482232894</v>
      </c>
      <c r="M598" s="306">
        <f t="shared" ca="1" si="277"/>
        <v>-1.4723023221664444</v>
      </c>
      <c r="N598" s="304">
        <f t="shared" ca="1" si="278"/>
        <v>-84.356709227447695</v>
      </c>
      <c r="P598" s="310">
        <f t="shared" ca="1" si="279"/>
        <v>23</v>
      </c>
      <c r="Q598" s="304">
        <f t="shared" ca="1" si="280"/>
        <v>0</v>
      </c>
      <c r="R598" s="306">
        <f t="shared" ca="1" si="281"/>
        <v>0</v>
      </c>
      <c r="S598" s="307">
        <f t="shared" ca="1" si="282"/>
        <v>7.9769999999999968</v>
      </c>
      <c r="T598" s="304">
        <f t="shared" ca="1" si="262"/>
        <v>78.254369999999966</v>
      </c>
      <c r="U598" s="311">
        <f t="shared" ca="1" si="263"/>
        <v>0</v>
      </c>
      <c r="V598" s="306">
        <f t="shared" ca="1" si="264"/>
        <v>1.2254066179555321</v>
      </c>
      <c r="W598" s="304">
        <f t="shared" ca="1" si="265"/>
        <v>59.170518728315031</v>
      </c>
      <c r="Y598" s="314" t="str">
        <f t="shared" ca="1" si="283"/>
        <v/>
      </c>
      <c r="Z598" s="315" t="str">
        <f t="shared" ca="1" si="284"/>
        <v/>
      </c>
      <c r="AA598" s="316" t="str">
        <f t="shared" ca="1" si="285"/>
        <v/>
      </c>
      <c r="AC598" s="310" t="e">
        <f t="shared" ca="1" si="286"/>
        <v>#N/A</v>
      </c>
      <c r="AD598" s="323" t="e">
        <f t="shared" ca="1" si="287"/>
        <v>#N/A</v>
      </c>
      <c r="AE598" s="324" t="e">
        <f t="shared" ca="1" si="266"/>
        <v>#N/A</v>
      </c>
      <c r="AG598" s="306">
        <f t="shared" ca="1" si="288"/>
        <v>2.3448510812878993</v>
      </c>
      <c r="AH598" s="304">
        <f t="shared" ca="1" si="289"/>
        <v>-7.4176028611670404</v>
      </c>
    </row>
    <row r="599" spans="1:34" x14ac:dyDescent="0.2">
      <c r="A599" s="347">
        <f t="shared" ca="1" si="267"/>
        <v>1E-4</v>
      </c>
      <c r="B599" s="304">
        <f t="shared" ca="1" si="268"/>
        <v>33.60790000000047</v>
      </c>
      <c r="D599" s="306">
        <f t="shared" ca="1" si="269"/>
        <v>-0.72941244054597132</v>
      </c>
      <c r="E599" s="307">
        <f t="shared" ca="1" si="270"/>
        <v>-2.4283098863497896</v>
      </c>
      <c r="F599" s="304">
        <f t="shared" ca="1" si="271"/>
        <v>2.53549431325873</v>
      </c>
      <c r="G599" s="306">
        <f t="shared" ca="1" si="272"/>
        <v>11.889141022204605</v>
      </c>
      <c r="H599" s="307">
        <f t="shared" ca="1" si="273"/>
        <v>-120.31967844051847</v>
      </c>
      <c r="I599" s="304">
        <f t="shared" ca="1" si="274"/>
        <v>120.90565203610473</v>
      </c>
      <c r="J599" s="306">
        <f t="shared" ca="1" si="275"/>
        <v>755.70453742140728</v>
      </c>
      <c r="K599" s="307">
        <f t="shared" ca="1" si="276"/>
        <v>-3.3308113986947228</v>
      </c>
      <c r="L599" s="304">
        <f t="shared" ca="1" si="261"/>
        <v>755.71187775757289</v>
      </c>
      <c r="M599" s="306">
        <f t="shared" ca="1" si="277"/>
        <v>-1.4723031200321264</v>
      </c>
      <c r="N599" s="304">
        <f t="shared" ca="1" si="278"/>
        <v>-84.35675494178389</v>
      </c>
      <c r="P599" s="310">
        <f t="shared" ca="1" si="279"/>
        <v>23</v>
      </c>
      <c r="Q599" s="304">
        <f t="shared" ca="1" si="280"/>
        <v>0</v>
      </c>
      <c r="R599" s="306">
        <f t="shared" ca="1" si="281"/>
        <v>0</v>
      </c>
      <c r="S599" s="307">
        <f t="shared" ca="1" si="282"/>
        <v>7.9769999999999968</v>
      </c>
      <c r="T599" s="304">
        <f t="shared" ca="1" si="262"/>
        <v>78.254369999999966</v>
      </c>
      <c r="U599" s="311">
        <f t="shared" ca="1" si="263"/>
        <v>0</v>
      </c>
      <c r="V599" s="306">
        <f t="shared" ca="1" si="264"/>
        <v>1.2254080923602744</v>
      </c>
      <c r="W599" s="304">
        <f t="shared" ca="1" si="265"/>
        <v>59.170819430713038</v>
      </c>
      <c r="Y599" s="314" t="str">
        <f t="shared" ca="1" si="283"/>
        <v/>
      </c>
      <c r="Z599" s="315" t="str">
        <f t="shared" ca="1" si="284"/>
        <v/>
      </c>
      <c r="AA599" s="316" t="str">
        <f t="shared" ca="1" si="285"/>
        <v/>
      </c>
      <c r="AC599" s="310" t="e">
        <f t="shared" ca="1" si="286"/>
        <v>#N/A</v>
      </c>
      <c r="AD599" s="323" t="e">
        <f t="shared" ca="1" si="287"/>
        <v>#N/A</v>
      </c>
      <c r="AE599" s="324" t="e">
        <f t="shared" ca="1" si="266"/>
        <v>#N/A</v>
      </c>
      <c r="AG599" s="306">
        <f t="shared" ca="1" si="288"/>
        <v>2.3448141544960119</v>
      </c>
      <c r="AH599" s="304">
        <f t="shared" ca="1" si="289"/>
        <v>-7.4176405576426045</v>
      </c>
    </row>
    <row r="600" spans="1:34" x14ac:dyDescent="0.2">
      <c r="A600" s="347">
        <f t="shared" ca="1" si="267"/>
        <v>1E-4</v>
      </c>
      <c r="B600" s="304">
        <f t="shared" ca="1" si="268"/>
        <v>33.608000000000473</v>
      </c>
      <c r="D600" s="306">
        <f t="shared" ca="1" si="269"/>
        <v>-0.72941025776576374</v>
      </c>
      <c r="E600" s="307">
        <f t="shared" ca="1" si="270"/>
        <v>-2.4282717908986022</v>
      </c>
      <c r="F600" s="304">
        <f t="shared" ca="1" si="271"/>
        <v>2.5354572003107889</v>
      </c>
      <c r="G600" s="306">
        <f t="shared" ca="1" si="272"/>
        <v>11.889068081178829</v>
      </c>
      <c r="H600" s="307">
        <f t="shared" ca="1" si="273"/>
        <v>-120.31992126769757</v>
      </c>
      <c r="I600" s="304">
        <f t="shared" ca="1" si="274"/>
        <v>120.90588651386601</v>
      </c>
      <c r="J600" s="306">
        <f t="shared" ca="1" si="275"/>
        <v>755.70453742140728</v>
      </c>
      <c r="K600" s="307">
        <f t="shared" ca="1" si="276"/>
        <v>-3.3428433786801337</v>
      </c>
      <c r="L600" s="304">
        <f t="shared" ca="1" si="261"/>
        <v>755.71193088448558</v>
      </c>
      <c r="M600" s="306">
        <f t="shared" ca="1" si="277"/>
        <v>-1.4723039178898187</v>
      </c>
      <c r="N600" s="304">
        <f t="shared" ca="1" si="278"/>
        <v>-84.356800655662312</v>
      </c>
      <c r="P600" s="310">
        <f t="shared" ca="1" si="279"/>
        <v>23</v>
      </c>
      <c r="Q600" s="304">
        <f t="shared" ca="1" si="280"/>
        <v>0</v>
      </c>
      <c r="R600" s="306">
        <f t="shared" ca="1" si="281"/>
        <v>0</v>
      </c>
      <c r="S600" s="307">
        <f t="shared" ca="1" si="282"/>
        <v>7.9769999999999968</v>
      </c>
      <c r="T600" s="304">
        <f t="shared" ca="1" si="262"/>
        <v>78.254369999999966</v>
      </c>
      <c r="U600" s="311">
        <f t="shared" ca="1" si="263"/>
        <v>0</v>
      </c>
      <c r="V600" s="306">
        <f t="shared" ca="1" si="264"/>
        <v>1.2254095667697664</v>
      </c>
      <c r="W600" s="304">
        <f t="shared" ca="1" si="265"/>
        <v>59.171120130723402</v>
      </c>
      <c r="Y600" s="314" t="str">
        <f t="shared" ca="1" si="283"/>
        <v/>
      </c>
      <c r="Z600" s="315" t="str">
        <f t="shared" ca="1" si="284"/>
        <v/>
      </c>
      <c r="AA600" s="316" t="str">
        <f t="shared" ca="1" si="285"/>
        <v/>
      </c>
      <c r="AC600" s="310" t="e">
        <f t="shared" ca="1" si="286"/>
        <v>#N/A</v>
      </c>
      <c r="AD600" s="323" t="e">
        <f t="shared" ca="1" si="287"/>
        <v>#N/A</v>
      </c>
      <c r="AE600" s="324" t="e">
        <f t="shared" ca="1" si="266"/>
        <v>#N/A</v>
      </c>
      <c r="AG600" s="306">
        <f t="shared" ca="1" si="288"/>
        <v>2.3447772279895114</v>
      </c>
      <c r="AH600" s="304">
        <f t="shared" ca="1" si="289"/>
        <v>-7.4176782538188624</v>
      </c>
    </row>
    <row r="601" spans="1:34" x14ac:dyDescent="0.2">
      <c r="A601" s="347">
        <f t="shared" ca="1" si="267"/>
        <v>1E-4</v>
      </c>
      <c r="B601" s="304">
        <f t="shared" ca="1" si="268"/>
        <v>33.608100000000476</v>
      </c>
      <c r="D601" s="306">
        <f t="shared" ca="1" si="269"/>
        <v>-0.72940807495477511</v>
      </c>
      <c r="E601" s="307">
        <f t="shared" ca="1" si="270"/>
        <v>-2.4282336957498929</v>
      </c>
      <c r="F601" s="304">
        <f t="shared" ca="1" si="271"/>
        <v>2.5354200876747059</v>
      </c>
      <c r="G601" s="306">
        <f t="shared" ca="1" si="272"/>
        <v>11.888995140371334</v>
      </c>
      <c r="H601" s="307">
        <f t="shared" ca="1" si="273"/>
        <v>-120.32016409106714</v>
      </c>
      <c r="I601" s="304">
        <f t="shared" ca="1" si="274"/>
        <v>120.90612098793467</v>
      </c>
      <c r="J601" s="306">
        <f t="shared" ca="1" si="275"/>
        <v>755.70453742140728</v>
      </c>
      <c r="K601" s="307">
        <f t="shared" ca="1" si="276"/>
        <v>-3.3548753829480717</v>
      </c>
      <c r="L601" s="304">
        <f t="shared" ca="1" si="261"/>
        <v>755.71198420306814</v>
      </c>
      <c r="M601" s="306">
        <f t="shared" ca="1" si="277"/>
        <v>-1.4723047157395217</v>
      </c>
      <c r="N601" s="304">
        <f t="shared" ca="1" si="278"/>
        <v>-84.356846369082987</v>
      </c>
      <c r="P601" s="310">
        <f t="shared" ca="1" si="279"/>
        <v>23</v>
      </c>
      <c r="Q601" s="304">
        <f t="shared" ca="1" si="280"/>
        <v>0</v>
      </c>
      <c r="R601" s="306">
        <f t="shared" ca="1" si="281"/>
        <v>0</v>
      </c>
      <c r="S601" s="307">
        <f t="shared" ca="1" si="282"/>
        <v>7.9769999999999968</v>
      </c>
      <c r="T601" s="304">
        <f t="shared" ca="1" si="262"/>
        <v>78.254369999999966</v>
      </c>
      <c r="U601" s="311">
        <f t="shared" ca="1" si="263"/>
        <v>0</v>
      </c>
      <c r="V601" s="306">
        <f t="shared" ca="1" si="264"/>
        <v>1.2254110411840089</v>
      </c>
      <c r="W601" s="304">
        <f t="shared" ca="1" si="265"/>
        <v>59.171420828346207</v>
      </c>
      <c r="Y601" s="314" t="str">
        <f t="shared" ca="1" si="283"/>
        <v/>
      </c>
      <c r="Z601" s="315" t="str">
        <f t="shared" ca="1" si="284"/>
        <v/>
      </c>
      <c r="AA601" s="316" t="str">
        <f t="shared" ca="1" si="285"/>
        <v/>
      </c>
      <c r="AC601" s="310" t="e">
        <f t="shared" ca="1" si="286"/>
        <v>#N/A</v>
      </c>
      <c r="AD601" s="323" t="e">
        <f t="shared" ca="1" si="287"/>
        <v>#N/A</v>
      </c>
      <c r="AE601" s="324" t="e">
        <f t="shared" ca="1" si="266"/>
        <v>#N/A</v>
      </c>
      <c r="AG601" s="306">
        <f t="shared" ca="1" si="288"/>
        <v>2.3447403017684021</v>
      </c>
      <c r="AH601" s="304">
        <f t="shared" ca="1" si="289"/>
        <v>-7.4177159496958041</v>
      </c>
    </row>
    <row r="602" spans="1:34" x14ac:dyDescent="0.2">
      <c r="A602" s="347">
        <f t="shared" ca="1" si="267"/>
        <v>1E-4</v>
      </c>
      <c r="B602" s="304">
        <f t="shared" ca="1" si="268"/>
        <v>33.60820000000048</v>
      </c>
      <c r="D602" s="306">
        <f t="shared" ca="1" si="269"/>
        <v>-0.72940589211300644</v>
      </c>
      <c r="E602" s="307">
        <f t="shared" ca="1" si="270"/>
        <v>-2.4281956009036501</v>
      </c>
      <c r="F602" s="304">
        <f t="shared" ca="1" si="271"/>
        <v>2.5353829753504713</v>
      </c>
      <c r="G602" s="306">
        <f t="shared" ca="1" si="272"/>
        <v>11.888922199782122</v>
      </c>
      <c r="H602" s="307">
        <f t="shared" ca="1" si="273"/>
        <v>-120.32040691062723</v>
      </c>
      <c r="I602" s="304">
        <f t="shared" ca="1" si="274"/>
        <v>120.90635545831073</v>
      </c>
      <c r="J602" s="306">
        <f t="shared" ca="1" si="275"/>
        <v>755.70453742140728</v>
      </c>
      <c r="K602" s="307">
        <f t="shared" ca="1" si="276"/>
        <v>-3.3669074114981563</v>
      </c>
      <c r="L602" s="304">
        <f t="shared" ca="1" si="261"/>
        <v>755.71203771332159</v>
      </c>
      <c r="M602" s="306">
        <f t="shared" ca="1" si="277"/>
        <v>-1.4723055135812351</v>
      </c>
      <c r="N602" s="304">
        <f t="shared" ca="1" si="278"/>
        <v>-84.356892082045874</v>
      </c>
      <c r="P602" s="310">
        <f t="shared" ca="1" si="279"/>
        <v>23</v>
      </c>
      <c r="Q602" s="304">
        <f t="shared" ca="1" si="280"/>
        <v>0</v>
      </c>
      <c r="R602" s="306">
        <f t="shared" ca="1" si="281"/>
        <v>0</v>
      </c>
      <c r="S602" s="307">
        <f t="shared" ca="1" si="282"/>
        <v>7.9769999999999968</v>
      </c>
      <c r="T602" s="304">
        <f t="shared" ca="1" si="262"/>
        <v>78.254369999999966</v>
      </c>
      <c r="U602" s="311">
        <f t="shared" ca="1" si="263"/>
        <v>0</v>
      </c>
      <c r="V602" s="306">
        <f t="shared" ca="1" si="264"/>
        <v>1.2254125156030009</v>
      </c>
      <c r="W602" s="304">
        <f t="shared" ca="1" si="265"/>
        <v>59.171721523581368</v>
      </c>
      <c r="Y602" s="314" t="str">
        <f t="shared" ca="1" si="283"/>
        <v/>
      </c>
      <c r="Z602" s="315" t="str">
        <f t="shared" ca="1" si="284"/>
        <v/>
      </c>
      <c r="AA602" s="316" t="str">
        <f t="shared" ca="1" si="285"/>
        <v/>
      </c>
      <c r="AC602" s="310" t="e">
        <f t="shared" ca="1" si="286"/>
        <v>#N/A</v>
      </c>
      <c r="AD602" s="323" t="e">
        <f t="shared" ca="1" si="287"/>
        <v>#N/A</v>
      </c>
      <c r="AE602" s="324" t="e">
        <f t="shared" ca="1" si="266"/>
        <v>#N/A</v>
      </c>
      <c r="AG602" s="306">
        <f t="shared" ca="1" si="288"/>
        <v>2.344703375832677</v>
      </c>
      <c r="AH602" s="304">
        <f t="shared" ca="1" si="289"/>
        <v>-7.4177536452734403</v>
      </c>
    </row>
    <row r="603" spans="1:34" x14ac:dyDescent="0.2">
      <c r="A603" s="347">
        <f t="shared" ca="1" si="267"/>
        <v>1E-4</v>
      </c>
      <c r="B603" s="304">
        <f t="shared" ca="1" si="268"/>
        <v>33.608300000000483</v>
      </c>
      <c r="D603" s="306">
        <f t="shared" ca="1" si="269"/>
        <v>-0.72940370924045994</v>
      </c>
      <c r="E603" s="307">
        <f t="shared" ca="1" si="270"/>
        <v>-2.4281575063598835</v>
      </c>
      <c r="F603" s="304">
        <f t="shared" ca="1" si="271"/>
        <v>2.5353458633380948</v>
      </c>
      <c r="G603" s="306">
        <f t="shared" ca="1" si="272"/>
        <v>11.888849259411199</v>
      </c>
      <c r="H603" s="307">
        <f t="shared" ca="1" si="273"/>
        <v>-120.32064972637787</v>
      </c>
      <c r="I603" s="304">
        <f t="shared" ca="1" si="274"/>
        <v>120.90658992499424</v>
      </c>
      <c r="J603" s="306">
        <f t="shared" ca="1" si="275"/>
        <v>755.70453742140728</v>
      </c>
      <c r="K603" s="307">
        <f t="shared" ca="1" si="276"/>
        <v>-3.3789394643300064</v>
      </c>
      <c r="L603" s="304">
        <f t="shared" ca="1" si="261"/>
        <v>755.71209141524707</v>
      </c>
      <c r="M603" s="306">
        <f t="shared" ca="1" si="277"/>
        <v>-1.4723063114149593</v>
      </c>
      <c r="N603" s="304">
        <f t="shared" ca="1" si="278"/>
        <v>-84.35693779455103</v>
      </c>
      <c r="P603" s="310">
        <f t="shared" ca="1" si="279"/>
        <v>23</v>
      </c>
      <c r="Q603" s="304">
        <f t="shared" ca="1" si="280"/>
        <v>0</v>
      </c>
      <c r="R603" s="306">
        <f t="shared" ca="1" si="281"/>
        <v>0</v>
      </c>
      <c r="S603" s="307">
        <f t="shared" ca="1" si="282"/>
        <v>7.9769999999999968</v>
      </c>
      <c r="T603" s="304">
        <f t="shared" ca="1" si="262"/>
        <v>78.254369999999966</v>
      </c>
      <c r="U603" s="311">
        <f t="shared" ca="1" si="263"/>
        <v>0</v>
      </c>
      <c r="V603" s="306">
        <f t="shared" ca="1" si="264"/>
        <v>1.2254139900267427</v>
      </c>
      <c r="W603" s="304">
        <f t="shared" ca="1" si="265"/>
        <v>59.172022216428928</v>
      </c>
      <c r="Y603" s="314" t="str">
        <f t="shared" ca="1" si="283"/>
        <v/>
      </c>
      <c r="Z603" s="315" t="str">
        <f t="shared" ca="1" si="284"/>
        <v/>
      </c>
      <c r="AA603" s="316" t="str">
        <f t="shared" ca="1" si="285"/>
        <v/>
      </c>
      <c r="AC603" s="310" t="e">
        <f t="shared" ca="1" si="286"/>
        <v>#N/A</v>
      </c>
      <c r="AD603" s="323" t="e">
        <f t="shared" ca="1" si="287"/>
        <v>#N/A</v>
      </c>
      <c r="AE603" s="324" t="e">
        <f t="shared" ca="1" si="266"/>
        <v>#N/A</v>
      </c>
      <c r="AG603" s="306">
        <f t="shared" ca="1" si="288"/>
        <v>2.3446664501823502</v>
      </c>
      <c r="AH603" s="304">
        <f t="shared" ca="1" si="289"/>
        <v>-7.4177913405517604</v>
      </c>
    </row>
    <row r="604" spans="1:34" x14ac:dyDescent="0.2">
      <c r="A604" s="347">
        <f t="shared" ca="1" si="267"/>
        <v>1E-4</v>
      </c>
      <c r="B604" s="304">
        <f t="shared" ca="1" si="268"/>
        <v>33.608400000000486</v>
      </c>
      <c r="D604" s="306">
        <f t="shared" ca="1" si="269"/>
        <v>-0.72940152633713451</v>
      </c>
      <c r="E604" s="307">
        <f t="shared" ca="1" si="270"/>
        <v>-2.4281194121185896</v>
      </c>
      <c r="F604" s="304">
        <f t="shared" ca="1" si="271"/>
        <v>2.5353087516375727</v>
      </c>
      <c r="G604" s="306">
        <f t="shared" ca="1" si="272"/>
        <v>11.888776319258564</v>
      </c>
      <c r="H604" s="307">
        <f t="shared" ca="1" si="273"/>
        <v>-120.32089253831907</v>
      </c>
      <c r="I604" s="304">
        <f t="shared" ca="1" si="274"/>
        <v>120.90682438798518</v>
      </c>
      <c r="J604" s="306">
        <f t="shared" ca="1" si="275"/>
        <v>755.70453742140728</v>
      </c>
      <c r="K604" s="307">
        <f t="shared" ca="1" si="276"/>
        <v>-3.3909715414432413</v>
      </c>
      <c r="L604" s="304">
        <f t="shared" ca="1" si="261"/>
        <v>755.71214530884583</v>
      </c>
      <c r="M604" s="306">
        <f t="shared" ca="1" si="277"/>
        <v>-1.4723071092406941</v>
      </c>
      <c r="N604" s="304">
        <f t="shared" ca="1" si="278"/>
        <v>-84.356983506598411</v>
      </c>
      <c r="P604" s="310">
        <f t="shared" ca="1" si="279"/>
        <v>23</v>
      </c>
      <c r="Q604" s="304">
        <f t="shared" ca="1" si="280"/>
        <v>0</v>
      </c>
      <c r="R604" s="306">
        <f t="shared" ca="1" si="281"/>
        <v>0</v>
      </c>
      <c r="S604" s="307">
        <f t="shared" ca="1" si="282"/>
        <v>7.9769999999999968</v>
      </c>
      <c r="T604" s="304">
        <f t="shared" ca="1" si="262"/>
        <v>78.254369999999966</v>
      </c>
      <c r="U604" s="311">
        <f t="shared" ca="1" si="263"/>
        <v>0</v>
      </c>
      <c r="V604" s="306">
        <f t="shared" ca="1" si="264"/>
        <v>1.2254154644552344</v>
      </c>
      <c r="W604" s="304">
        <f t="shared" ca="1" si="265"/>
        <v>59.172322906888873</v>
      </c>
      <c r="Y604" s="314" t="str">
        <f t="shared" ca="1" si="283"/>
        <v/>
      </c>
      <c r="Z604" s="315" t="str">
        <f t="shared" ca="1" si="284"/>
        <v/>
      </c>
      <c r="AA604" s="316" t="str">
        <f t="shared" ca="1" si="285"/>
        <v/>
      </c>
      <c r="AC604" s="310" t="e">
        <f t="shared" ca="1" si="286"/>
        <v>#N/A</v>
      </c>
      <c r="AD604" s="323" t="e">
        <f t="shared" ca="1" si="287"/>
        <v>#N/A</v>
      </c>
      <c r="AE604" s="324" t="e">
        <f t="shared" ca="1" si="266"/>
        <v>#N/A</v>
      </c>
      <c r="AG604" s="306">
        <f t="shared" ca="1" si="288"/>
        <v>2.3446295248174112</v>
      </c>
      <c r="AH604" s="304">
        <f t="shared" ca="1" si="289"/>
        <v>-7.4178290355307697</v>
      </c>
    </row>
    <row r="605" spans="1:34" x14ac:dyDescent="0.2">
      <c r="A605" s="347">
        <f t="shared" ca="1" si="267"/>
        <v>1E-4</v>
      </c>
      <c r="B605" s="304">
        <f t="shared" ca="1" si="268"/>
        <v>33.60850000000049</v>
      </c>
      <c r="D605" s="306">
        <f t="shared" ca="1" si="269"/>
        <v>-0.72939934340303336</v>
      </c>
      <c r="E605" s="307">
        <f t="shared" ca="1" si="270"/>
        <v>-2.4280813181797685</v>
      </c>
      <c r="F605" s="304">
        <f t="shared" ca="1" si="271"/>
        <v>2.5352716402489057</v>
      </c>
      <c r="G605" s="306">
        <f t="shared" ca="1" si="272"/>
        <v>11.888703379324225</v>
      </c>
      <c r="H605" s="307">
        <f t="shared" ca="1" si="273"/>
        <v>-120.32113534645089</v>
      </c>
      <c r="I605" s="304">
        <f t="shared" ca="1" si="274"/>
        <v>120.90705884728364</v>
      </c>
      <c r="J605" s="306">
        <f t="shared" ca="1" si="275"/>
        <v>755.70453742140728</v>
      </c>
      <c r="K605" s="307">
        <f t="shared" ca="1" si="276"/>
        <v>-3.4030036428374797</v>
      </c>
      <c r="L605" s="304">
        <f t="shared" ca="1" si="261"/>
        <v>755.71219939411878</v>
      </c>
      <c r="M605" s="306">
        <f t="shared" ca="1" si="277"/>
        <v>-1.4723079070584402</v>
      </c>
      <c r="N605" s="304">
        <f t="shared" ca="1" si="278"/>
        <v>-84.357029218188089</v>
      </c>
      <c r="P605" s="310">
        <f t="shared" ca="1" si="279"/>
        <v>23</v>
      </c>
      <c r="Q605" s="304">
        <f t="shared" ca="1" si="280"/>
        <v>0</v>
      </c>
      <c r="R605" s="306">
        <f t="shared" ca="1" si="281"/>
        <v>0</v>
      </c>
      <c r="S605" s="307">
        <f t="shared" ca="1" si="282"/>
        <v>7.9769999999999968</v>
      </c>
      <c r="T605" s="304">
        <f t="shared" ca="1" si="262"/>
        <v>78.254369999999966</v>
      </c>
      <c r="U605" s="311">
        <f t="shared" ca="1" si="263"/>
        <v>0</v>
      </c>
      <c r="V605" s="306">
        <f t="shared" ca="1" si="264"/>
        <v>1.2254169388884755</v>
      </c>
      <c r="W605" s="304">
        <f t="shared" ca="1" si="265"/>
        <v>59.172623594961173</v>
      </c>
      <c r="Y605" s="314" t="str">
        <f t="shared" ca="1" si="283"/>
        <v/>
      </c>
      <c r="Z605" s="315" t="str">
        <f t="shared" ca="1" si="284"/>
        <v/>
      </c>
      <c r="AA605" s="316" t="str">
        <f t="shared" ca="1" si="285"/>
        <v/>
      </c>
      <c r="AC605" s="310" t="e">
        <f t="shared" ca="1" si="286"/>
        <v>#N/A</v>
      </c>
      <c r="AD605" s="323" t="e">
        <f t="shared" ca="1" si="287"/>
        <v>#N/A</v>
      </c>
      <c r="AE605" s="324" t="e">
        <f t="shared" ca="1" si="266"/>
        <v>#N/A</v>
      </c>
      <c r="AG605" s="306">
        <f t="shared" ca="1" si="288"/>
        <v>2.3445925997378607</v>
      </c>
      <c r="AH605" s="304">
        <f t="shared" ca="1" si="289"/>
        <v>-7.4178667302104673</v>
      </c>
    </row>
    <row r="606" spans="1:34" x14ac:dyDescent="0.2">
      <c r="A606" s="347">
        <f t="shared" ca="1" si="267"/>
        <v>1E-4</v>
      </c>
      <c r="B606" s="304">
        <f t="shared" ca="1" si="268"/>
        <v>33.608600000000493</v>
      </c>
      <c r="D606" s="306">
        <f t="shared" ca="1" si="269"/>
        <v>-0.7293971604381525</v>
      </c>
      <c r="E606" s="307">
        <f t="shared" ca="1" si="270"/>
        <v>-2.4280432245434245</v>
      </c>
      <c r="F606" s="304">
        <f t="shared" ca="1" si="271"/>
        <v>2.5352345291720981</v>
      </c>
      <c r="G606" s="306">
        <f t="shared" ca="1" si="272"/>
        <v>11.888630439608182</v>
      </c>
      <c r="H606" s="307">
        <f t="shared" ca="1" si="273"/>
        <v>-120.32137815077334</v>
      </c>
      <c r="I606" s="304">
        <f t="shared" ca="1" si="274"/>
        <v>120.90729330288961</v>
      </c>
      <c r="J606" s="306">
        <f t="shared" ca="1" si="275"/>
        <v>755.70453742140728</v>
      </c>
      <c r="K606" s="307">
        <f t="shared" ca="1" si="276"/>
        <v>-3.4150357685123409</v>
      </c>
      <c r="L606" s="304">
        <f t="shared" ca="1" si="261"/>
        <v>755.71225367106717</v>
      </c>
      <c r="M606" s="306">
        <f t="shared" ca="1" si="277"/>
        <v>-1.4723087048681971</v>
      </c>
      <c r="N606" s="304">
        <f t="shared" ca="1" si="278"/>
        <v>-84.357074929320021</v>
      </c>
      <c r="P606" s="310">
        <f t="shared" ca="1" si="279"/>
        <v>23</v>
      </c>
      <c r="Q606" s="304">
        <f t="shared" ca="1" si="280"/>
        <v>0</v>
      </c>
      <c r="R606" s="306">
        <f t="shared" ca="1" si="281"/>
        <v>0</v>
      </c>
      <c r="S606" s="307">
        <f t="shared" ca="1" si="282"/>
        <v>7.9769999999999968</v>
      </c>
      <c r="T606" s="304">
        <f t="shared" ca="1" si="262"/>
        <v>78.254369999999966</v>
      </c>
      <c r="U606" s="311">
        <f t="shared" ca="1" si="263"/>
        <v>0</v>
      </c>
      <c r="V606" s="306">
        <f t="shared" ca="1" si="264"/>
        <v>1.2254184133264669</v>
      </c>
      <c r="W606" s="304">
        <f t="shared" ca="1" si="265"/>
        <v>59.17292428064588</v>
      </c>
      <c r="Y606" s="314" t="str">
        <f t="shared" ca="1" si="283"/>
        <v/>
      </c>
      <c r="Z606" s="315" t="str">
        <f t="shared" ca="1" si="284"/>
        <v/>
      </c>
      <c r="AA606" s="316" t="str">
        <f t="shared" ca="1" si="285"/>
        <v/>
      </c>
      <c r="AC606" s="310" t="e">
        <f t="shared" ca="1" si="286"/>
        <v>#N/A</v>
      </c>
      <c r="AD606" s="323" t="e">
        <f t="shared" ca="1" si="287"/>
        <v>#N/A</v>
      </c>
      <c r="AE606" s="324" t="e">
        <f t="shared" ca="1" si="266"/>
        <v>#N/A</v>
      </c>
      <c r="AG606" s="306">
        <f t="shared" ca="1" si="288"/>
        <v>2.3445556749437086</v>
      </c>
      <c r="AH606" s="304">
        <f t="shared" ca="1" si="289"/>
        <v>-7.4179044245908488</v>
      </c>
    </row>
    <row r="607" spans="1:34" x14ac:dyDescent="0.2">
      <c r="A607" s="347">
        <f t="shared" ca="1" si="267"/>
        <v>1E-4</v>
      </c>
      <c r="B607" s="304">
        <f t="shared" ca="1" si="268"/>
        <v>33.608700000000496</v>
      </c>
      <c r="D607" s="306">
        <f t="shared" ca="1" si="269"/>
        <v>-0.72939497744249771</v>
      </c>
      <c r="E607" s="307">
        <f t="shared" ca="1" si="270"/>
        <v>-2.4280051312095523</v>
      </c>
      <c r="F607" s="304">
        <f t="shared" ca="1" si="271"/>
        <v>2.535197418407146</v>
      </c>
      <c r="G607" s="306">
        <f t="shared" ca="1" si="272"/>
        <v>11.888557500110437</v>
      </c>
      <c r="H607" s="307">
        <f t="shared" ca="1" si="273"/>
        <v>-120.32162095128646</v>
      </c>
      <c r="I607" s="304">
        <f t="shared" ca="1" si="274"/>
        <v>120.90752775480313</v>
      </c>
      <c r="J607" s="306">
        <f t="shared" ca="1" si="275"/>
        <v>755.70453742140728</v>
      </c>
      <c r="K607" s="307">
        <f t="shared" ca="1" si="276"/>
        <v>-3.427067918467444</v>
      </c>
      <c r="L607" s="304">
        <f t="shared" ca="1" si="261"/>
        <v>755.71230813969203</v>
      </c>
      <c r="M607" s="306">
        <f t="shared" ca="1" si="277"/>
        <v>-1.4723095026699653</v>
      </c>
      <c r="N607" s="304">
        <f t="shared" ca="1" si="278"/>
        <v>-84.357120639994221</v>
      </c>
      <c r="P607" s="310">
        <f t="shared" ca="1" si="279"/>
        <v>23</v>
      </c>
      <c r="Q607" s="304">
        <f t="shared" ca="1" si="280"/>
        <v>0</v>
      </c>
      <c r="R607" s="306">
        <f t="shared" ca="1" si="281"/>
        <v>0</v>
      </c>
      <c r="S607" s="307">
        <f t="shared" ca="1" si="282"/>
        <v>7.9769999999999968</v>
      </c>
      <c r="T607" s="304">
        <f t="shared" ca="1" si="262"/>
        <v>78.254369999999966</v>
      </c>
      <c r="U607" s="311">
        <f t="shared" ca="1" si="263"/>
        <v>0</v>
      </c>
      <c r="V607" s="306">
        <f t="shared" ca="1" si="264"/>
        <v>1.2254198877692075</v>
      </c>
      <c r="W607" s="304">
        <f t="shared" ca="1" si="265"/>
        <v>59.173224963942928</v>
      </c>
      <c r="Y607" s="314" t="str">
        <f t="shared" ca="1" si="283"/>
        <v/>
      </c>
      <c r="Z607" s="315" t="str">
        <f t="shared" ca="1" si="284"/>
        <v/>
      </c>
      <c r="AA607" s="316" t="str">
        <f t="shared" ca="1" si="285"/>
        <v/>
      </c>
      <c r="AC607" s="310" t="e">
        <f t="shared" ca="1" si="286"/>
        <v>#N/A</v>
      </c>
      <c r="AD607" s="323" t="e">
        <f t="shared" ca="1" si="287"/>
        <v>#N/A</v>
      </c>
      <c r="AE607" s="324" t="e">
        <f t="shared" ca="1" si="266"/>
        <v>#N/A</v>
      </c>
      <c r="AG607" s="306">
        <f t="shared" ca="1" si="288"/>
        <v>2.3445187504349461</v>
      </c>
      <c r="AH607" s="304">
        <f t="shared" ca="1" si="289"/>
        <v>-7.4179421186719194</v>
      </c>
    </row>
    <row r="608" spans="1:34" x14ac:dyDescent="0.2">
      <c r="A608" s="347">
        <f t="shared" ca="1" si="267"/>
        <v>1E-4</v>
      </c>
      <c r="B608" s="304">
        <f t="shared" ca="1" si="268"/>
        <v>33.6088000000005</v>
      </c>
      <c r="D608" s="306">
        <f t="shared" ca="1" si="269"/>
        <v>-0.72939279441606653</v>
      </c>
      <c r="E608" s="307">
        <f t="shared" ca="1" si="270"/>
        <v>-2.4279670381781582</v>
      </c>
      <c r="F608" s="304">
        <f t="shared" ca="1" si="271"/>
        <v>2.5351603079540541</v>
      </c>
      <c r="G608" s="306">
        <f t="shared" ca="1" si="272"/>
        <v>11.888484560830996</v>
      </c>
      <c r="H608" s="307">
        <f t="shared" ca="1" si="273"/>
        <v>-120.32186374799028</v>
      </c>
      <c r="I608" s="304">
        <f t="shared" ca="1" si="274"/>
        <v>120.90776220302423</v>
      </c>
      <c r="J608" s="306">
        <f t="shared" ca="1" si="275"/>
        <v>755.70453742140728</v>
      </c>
      <c r="K608" s="307">
        <f t="shared" ca="1" si="276"/>
        <v>-3.4391000927024078</v>
      </c>
      <c r="L608" s="304">
        <f t="shared" ca="1" si="261"/>
        <v>755.71236279999471</v>
      </c>
      <c r="M608" s="306">
        <f t="shared" ca="1" si="277"/>
        <v>-1.4723103004637448</v>
      </c>
      <c r="N608" s="304">
        <f t="shared" ca="1" si="278"/>
        <v>-84.357166350210704</v>
      </c>
      <c r="P608" s="310">
        <f t="shared" ca="1" si="279"/>
        <v>23</v>
      </c>
      <c r="Q608" s="304">
        <f t="shared" ca="1" si="280"/>
        <v>0</v>
      </c>
      <c r="R608" s="306">
        <f t="shared" ca="1" si="281"/>
        <v>0</v>
      </c>
      <c r="S608" s="307">
        <f t="shared" ca="1" si="282"/>
        <v>7.9769999999999968</v>
      </c>
      <c r="T608" s="304">
        <f t="shared" ca="1" si="262"/>
        <v>78.254369999999966</v>
      </c>
      <c r="U608" s="311">
        <f t="shared" ca="1" si="263"/>
        <v>0</v>
      </c>
      <c r="V608" s="306">
        <f t="shared" ca="1" si="264"/>
        <v>1.2254213622166981</v>
      </c>
      <c r="W608" s="304">
        <f t="shared" ca="1" si="265"/>
        <v>59.173525644852376</v>
      </c>
      <c r="Y608" s="314" t="str">
        <f t="shared" ca="1" si="283"/>
        <v/>
      </c>
      <c r="Z608" s="315" t="str">
        <f t="shared" ca="1" si="284"/>
        <v/>
      </c>
      <c r="AA608" s="316" t="str">
        <f t="shared" ca="1" si="285"/>
        <v/>
      </c>
      <c r="AC608" s="310" t="e">
        <f t="shared" ca="1" si="286"/>
        <v>#N/A</v>
      </c>
      <c r="AD608" s="323" t="e">
        <f t="shared" ca="1" si="287"/>
        <v>#N/A</v>
      </c>
      <c r="AE608" s="324" t="e">
        <f t="shared" ca="1" si="266"/>
        <v>#N/A</v>
      </c>
      <c r="AG608" s="306">
        <f t="shared" ca="1" si="288"/>
        <v>2.3444818262115827</v>
      </c>
      <c r="AH608" s="304">
        <f t="shared" ca="1" si="289"/>
        <v>-7.4179798124536731</v>
      </c>
    </row>
    <row r="609" spans="1:34" x14ac:dyDescent="0.2">
      <c r="A609" s="347">
        <f t="shared" ca="1" si="267"/>
        <v>1E-4</v>
      </c>
      <c r="B609" s="304">
        <f t="shared" ca="1" si="268"/>
        <v>33.608900000000503</v>
      </c>
      <c r="D609" s="306">
        <f t="shared" ca="1" si="269"/>
        <v>-0.72939061135886119</v>
      </c>
      <c r="E609" s="307">
        <f t="shared" ca="1" si="270"/>
        <v>-2.4279289454492368</v>
      </c>
      <c r="F609" s="304">
        <f t="shared" ca="1" si="271"/>
        <v>2.5351231978128195</v>
      </c>
      <c r="G609" s="306">
        <f t="shared" ca="1" si="272"/>
        <v>11.88841162176986</v>
      </c>
      <c r="H609" s="307">
        <f t="shared" ca="1" si="273"/>
        <v>-120.32210654088482</v>
      </c>
      <c r="I609" s="304">
        <f t="shared" ca="1" si="274"/>
        <v>120.90799664755292</v>
      </c>
      <c r="J609" s="306">
        <f t="shared" ca="1" si="275"/>
        <v>755.70453742140728</v>
      </c>
      <c r="K609" s="307">
        <f t="shared" ca="1" si="276"/>
        <v>-3.4511322912168514</v>
      </c>
      <c r="L609" s="304">
        <f t="shared" ca="1" si="261"/>
        <v>755.71241765197601</v>
      </c>
      <c r="M609" s="306">
        <f t="shared" ca="1" si="277"/>
        <v>-1.4723110982495358</v>
      </c>
      <c r="N609" s="304">
        <f t="shared" ca="1" si="278"/>
        <v>-84.357212059969484</v>
      </c>
      <c r="P609" s="310">
        <f t="shared" ca="1" si="279"/>
        <v>23</v>
      </c>
      <c r="Q609" s="304">
        <f t="shared" ca="1" si="280"/>
        <v>0</v>
      </c>
      <c r="R609" s="306">
        <f t="shared" ca="1" si="281"/>
        <v>0</v>
      </c>
      <c r="S609" s="307">
        <f t="shared" ca="1" si="282"/>
        <v>7.9769999999999968</v>
      </c>
      <c r="T609" s="304">
        <f t="shared" ca="1" si="262"/>
        <v>78.254369999999966</v>
      </c>
      <c r="U609" s="311">
        <f t="shared" ca="1" si="263"/>
        <v>0</v>
      </c>
      <c r="V609" s="306">
        <f t="shared" ca="1" si="264"/>
        <v>1.2254228366689386</v>
      </c>
      <c r="W609" s="304">
        <f t="shared" ca="1" si="265"/>
        <v>59.173826323374193</v>
      </c>
      <c r="Y609" s="314" t="str">
        <f t="shared" ca="1" si="283"/>
        <v/>
      </c>
      <c r="Z609" s="315" t="str">
        <f t="shared" ca="1" si="284"/>
        <v/>
      </c>
      <c r="AA609" s="316" t="str">
        <f t="shared" ca="1" si="285"/>
        <v/>
      </c>
      <c r="AC609" s="310" t="e">
        <f t="shared" ca="1" si="286"/>
        <v>#N/A</v>
      </c>
      <c r="AD609" s="323" t="e">
        <f t="shared" ca="1" si="287"/>
        <v>#N/A</v>
      </c>
      <c r="AE609" s="324" t="e">
        <f t="shared" ca="1" si="266"/>
        <v>#N/A</v>
      </c>
      <c r="AG609" s="306">
        <f t="shared" ca="1" si="288"/>
        <v>2.3444449022736089</v>
      </c>
      <c r="AH609" s="304">
        <f t="shared" ca="1" si="289"/>
        <v>-7.418017505936116</v>
      </c>
    </row>
    <row r="610" spans="1:34" x14ac:dyDescent="0.2">
      <c r="A610" s="347">
        <f t="shared" ca="1" si="267"/>
        <v>1E-4</v>
      </c>
      <c r="B610" s="304">
        <f t="shared" ca="1" si="268"/>
        <v>33.609000000000506</v>
      </c>
      <c r="D610" s="306">
        <f t="shared" ca="1" si="269"/>
        <v>-0.72938842827088146</v>
      </c>
      <c r="E610" s="307">
        <f t="shared" ca="1" si="270"/>
        <v>-2.4278908530227898</v>
      </c>
      <c r="F610" s="304">
        <f t="shared" ca="1" si="271"/>
        <v>2.5350860879834429</v>
      </c>
      <c r="G610" s="306">
        <f t="shared" ca="1" si="272"/>
        <v>11.888338682927033</v>
      </c>
      <c r="H610" s="307">
        <f t="shared" ca="1" si="273"/>
        <v>-120.32234932997012</v>
      </c>
      <c r="I610" s="304">
        <f t="shared" ca="1" si="274"/>
        <v>120.90823108838926</v>
      </c>
      <c r="J610" s="306">
        <f t="shared" ca="1" si="275"/>
        <v>755.70453742140728</v>
      </c>
      <c r="K610" s="307">
        <f t="shared" ca="1" si="276"/>
        <v>-3.4631645140103942</v>
      </c>
      <c r="L610" s="304">
        <f t="shared" ca="1" si="261"/>
        <v>755.7124726956373</v>
      </c>
      <c r="M610" s="306">
        <f t="shared" ca="1" si="277"/>
        <v>-1.4723118960273383</v>
      </c>
      <c r="N610" s="304">
        <f t="shared" ca="1" si="278"/>
        <v>-84.357257769270561</v>
      </c>
      <c r="P610" s="310">
        <f t="shared" ca="1" si="279"/>
        <v>23</v>
      </c>
      <c r="Q610" s="304">
        <f t="shared" ca="1" si="280"/>
        <v>0</v>
      </c>
      <c r="R610" s="306">
        <f t="shared" ca="1" si="281"/>
        <v>0</v>
      </c>
      <c r="S610" s="307">
        <f t="shared" ca="1" si="282"/>
        <v>7.9769999999999968</v>
      </c>
      <c r="T610" s="304">
        <f t="shared" ca="1" si="262"/>
        <v>78.254369999999966</v>
      </c>
      <c r="U610" s="311">
        <f t="shared" ca="1" si="263"/>
        <v>0</v>
      </c>
      <c r="V610" s="306">
        <f t="shared" ca="1" si="264"/>
        <v>1.2254243111259282</v>
      </c>
      <c r="W610" s="304">
        <f t="shared" ca="1" si="265"/>
        <v>59.174126999508339</v>
      </c>
      <c r="Y610" s="314" t="str">
        <f t="shared" ca="1" si="283"/>
        <v/>
      </c>
      <c r="Z610" s="315" t="str">
        <f t="shared" ca="1" si="284"/>
        <v/>
      </c>
      <c r="AA610" s="316" t="str">
        <f t="shared" ca="1" si="285"/>
        <v/>
      </c>
      <c r="AC610" s="310" t="e">
        <f t="shared" ca="1" si="286"/>
        <v>#N/A</v>
      </c>
      <c r="AD610" s="323" t="e">
        <f t="shared" ca="1" si="287"/>
        <v>#N/A</v>
      </c>
      <c r="AE610" s="324" t="e">
        <f t="shared" ca="1" si="266"/>
        <v>#N/A</v>
      </c>
      <c r="AG610" s="306">
        <f t="shared" ca="1" si="288"/>
        <v>2.344407978621029</v>
      </c>
      <c r="AH610" s="304">
        <f t="shared" ca="1" si="289"/>
        <v>-7.4180551991192454</v>
      </c>
    </row>
    <row r="611" spans="1:34" x14ac:dyDescent="0.2">
      <c r="A611" s="347">
        <f t="shared" ca="1" si="267"/>
        <v>1E-4</v>
      </c>
      <c r="B611" s="304">
        <f t="shared" ca="1" si="268"/>
        <v>33.60910000000051</v>
      </c>
      <c r="D611" s="306">
        <f t="shared" ca="1" si="269"/>
        <v>-0.72938624515212824</v>
      </c>
      <c r="E611" s="307">
        <f t="shared" ca="1" si="270"/>
        <v>-2.4278527608988245</v>
      </c>
      <c r="F611" s="304">
        <f t="shared" ca="1" si="271"/>
        <v>2.535048978465932</v>
      </c>
      <c r="G611" s="306">
        <f t="shared" ca="1" si="272"/>
        <v>11.888265744302519</v>
      </c>
      <c r="H611" s="307">
        <f t="shared" ca="1" si="273"/>
        <v>-120.32259211524621</v>
      </c>
      <c r="I611" s="304">
        <f t="shared" ca="1" si="274"/>
        <v>120.90846552553326</v>
      </c>
      <c r="J611" s="306">
        <f t="shared" ca="1" si="275"/>
        <v>755.70453742140728</v>
      </c>
      <c r="K611" s="307">
        <f t="shared" ca="1" si="276"/>
        <v>-3.4751967610826551</v>
      </c>
      <c r="L611" s="304">
        <f t="shared" ca="1" si="261"/>
        <v>755.71252793097949</v>
      </c>
      <c r="M611" s="306">
        <f t="shared" ca="1" si="277"/>
        <v>-1.4723126937971525</v>
      </c>
      <c r="N611" s="304">
        <f t="shared" ca="1" si="278"/>
        <v>-84.357303478113934</v>
      </c>
      <c r="P611" s="310">
        <f t="shared" ca="1" si="279"/>
        <v>23</v>
      </c>
      <c r="Q611" s="304">
        <f t="shared" ca="1" si="280"/>
        <v>0</v>
      </c>
      <c r="R611" s="306">
        <f t="shared" ca="1" si="281"/>
        <v>0</v>
      </c>
      <c r="S611" s="307">
        <f t="shared" ca="1" si="282"/>
        <v>7.9769999999999968</v>
      </c>
      <c r="T611" s="304">
        <f t="shared" ca="1" si="262"/>
        <v>78.254369999999966</v>
      </c>
      <c r="U611" s="311">
        <f t="shared" ca="1" si="263"/>
        <v>0</v>
      </c>
      <c r="V611" s="306">
        <f t="shared" ca="1" si="264"/>
        <v>1.2254257855876676</v>
      </c>
      <c r="W611" s="304">
        <f t="shared" ca="1" si="265"/>
        <v>59.174427673254868</v>
      </c>
      <c r="Y611" s="314" t="str">
        <f t="shared" ca="1" si="283"/>
        <v/>
      </c>
      <c r="Z611" s="315" t="str">
        <f t="shared" ca="1" si="284"/>
        <v/>
      </c>
      <c r="AA611" s="316" t="str">
        <f t="shared" ca="1" si="285"/>
        <v/>
      </c>
      <c r="AC611" s="310" t="e">
        <f t="shared" ca="1" si="286"/>
        <v>#N/A</v>
      </c>
      <c r="AD611" s="323" t="e">
        <f t="shared" ca="1" si="287"/>
        <v>#N/A</v>
      </c>
      <c r="AE611" s="324" t="e">
        <f t="shared" ca="1" si="266"/>
        <v>#N/A</v>
      </c>
      <c r="AG611" s="306">
        <f t="shared" ca="1" si="288"/>
        <v>2.3443710552538519</v>
      </c>
      <c r="AH611" s="304">
        <f t="shared" ca="1" si="289"/>
        <v>-7.4180928920030542</v>
      </c>
    </row>
    <row r="612" spans="1:34" x14ac:dyDescent="0.2">
      <c r="A612" s="347">
        <f t="shared" ca="1" si="267"/>
        <v>1E-4</v>
      </c>
      <c r="B612" s="304">
        <f t="shared" ca="1" si="268"/>
        <v>33.609200000000513</v>
      </c>
      <c r="D612" s="306">
        <f t="shared" ca="1" si="269"/>
        <v>-0.72938406200260231</v>
      </c>
      <c r="E612" s="307">
        <f t="shared" ca="1" si="270"/>
        <v>-2.4278146690773328</v>
      </c>
      <c r="F612" s="304">
        <f t="shared" ca="1" si="271"/>
        <v>2.5350118692602792</v>
      </c>
      <c r="G612" s="306">
        <f t="shared" ca="1" si="272"/>
        <v>11.888192805896319</v>
      </c>
      <c r="H612" s="307">
        <f t="shared" ca="1" si="273"/>
        <v>-120.32283489671312</v>
      </c>
      <c r="I612" s="304">
        <f t="shared" ca="1" si="274"/>
        <v>120.90869995898497</v>
      </c>
      <c r="J612" s="306">
        <f t="shared" ca="1" si="275"/>
        <v>755.70453742140728</v>
      </c>
      <c r="K612" s="307">
        <f t="shared" ca="1" si="276"/>
        <v>-3.4872290324332531</v>
      </c>
      <c r="L612" s="304">
        <f t="shared" ca="1" si="261"/>
        <v>755.71258335800371</v>
      </c>
      <c r="M612" s="306">
        <f t="shared" ca="1" si="277"/>
        <v>-1.4723134915589786</v>
      </c>
      <c r="N612" s="304">
        <f t="shared" ca="1" si="278"/>
        <v>-84.357349186499633</v>
      </c>
      <c r="P612" s="310">
        <f t="shared" ca="1" si="279"/>
        <v>23</v>
      </c>
      <c r="Q612" s="304">
        <f t="shared" ca="1" si="280"/>
        <v>0</v>
      </c>
      <c r="R612" s="306">
        <f t="shared" ca="1" si="281"/>
        <v>0</v>
      </c>
      <c r="S612" s="307">
        <f t="shared" ca="1" si="282"/>
        <v>7.9769999999999968</v>
      </c>
      <c r="T612" s="304">
        <f t="shared" ca="1" si="262"/>
        <v>78.254369999999966</v>
      </c>
      <c r="U612" s="311">
        <f t="shared" ca="1" si="263"/>
        <v>0</v>
      </c>
      <c r="V612" s="306">
        <f t="shared" ca="1" si="264"/>
        <v>1.2254272600541565</v>
      </c>
      <c r="W612" s="304">
        <f t="shared" ca="1" si="265"/>
        <v>59.174728344613769</v>
      </c>
      <c r="Y612" s="314" t="str">
        <f t="shared" ca="1" si="283"/>
        <v/>
      </c>
      <c r="Z612" s="315" t="str">
        <f t="shared" ca="1" si="284"/>
        <v/>
      </c>
      <c r="AA612" s="316" t="str">
        <f t="shared" ca="1" si="285"/>
        <v/>
      </c>
      <c r="AC612" s="310" t="e">
        <f t="shared" ca="1" si="286"/>
        <v>#N/A</v>
      </c>
      <c r="AD612" s="323" t="e">
        <f t="shared" ca="1" si="287"/>
        <v>#N/A</v>
      </c>
      <c r="AE612" s="324" t="e">
        <f t="shared" ca="1" si="266"/>
        <v>#N/A</v>
      </c>
      <c r="AG612" s="306">
        <f t="shared" ca="1" si="288"/>
        <v>2.3443341321720679</v>
      </c>
      <c r="AH612" s="304">
        <f t="shared" ca="1" si="289"/>
        <v>-7.4181305845875505</v>
      </c>
    </row>
    <row r="613" spans="1:34" x14ac:dyDescent="0.2">
      <c r="A613" s="347">
        <f t="shared" ca="1" si="267"/>
        <v>1E-4</v>
      </c>
      <c r="B613" s="304">
        <f t="shared" ca="1" si="268"/>
        <v>33.609300000000516</v>
      </c>
      <c r="D613" s="306">
        <f t="shared" ca="1" si="269"/>
        <v>-0.72938187882230354</v>
      </c>
      <c r="E613" s="307">
        <f t="shared" ca="1" si="270"/>
        <v>-2.4277765775583156</v>
      </c>
      <c r="F613" s="304">
        <f t="shared" ca="1" si="271"/>
        <v>2.5349747603664854</v>
      </c>
      <c r="G613" s="306">
        <f t="shared" ca="1" si="272"/>
        <v>11.888119867708436</v>
      </c>
      <c r="H613" s="307">
        <f t="shared" ca="1" si="273"/>
        <v>-120.32307767437088</v>
      </c>
      <c r="I613" s="304">
        <f t="shared" ca="1" si="274"/>
        <v>120.90893438874437</v>
      </c>
      <c r="J613" s="306">
        <f t="shared" ca="1" si="275"/>
        <v>755.70453742140728</v>
      </c>
      <c r="K613" s="307">
        <f t="shared" ca="1" si="276"/>
        <v>-3.4992613280618072</v>
      </c>
      <c r="L613" s="304">
        <f t="shared" ca="1" si="261"/>
        <v>755.71263897671133</v>
      </c>
      <c r="M613" s="306">
        <f t="shared" ca="1" si="277"/>
        <v>-1.4723142893128165</v>
      </c>
      <c r="N613" s="304">
        <f t="shared" ca="1" si="278"/>
        <v>-84.357394894427628</v>
      </c>
      <c r="P613" s="310">
        <f t="shared" ca="1" si="279"/>
        <v>23</v>
      </c>
      <c r="Q613" s="304">
        <f t="shared" ca="1" si="280"/>
        <v>0</v>
      </c>
      <c r="R613" s="306">
        <f t="shared" ca="1" si="281"/>
        <v>0</v>
      </c>
      <c r="S613" s="307">
        <f t="shared" ca="1" si="282"/>
        <v>7.9769999999999968</v>
      </c>
      <c r="T613" s="304">
        <f t="shared" ca="1" si="262"/>
        <v>78.254369999999966</v>
      </c>
      <c r="U613" s="311">
        <f t="shared" ca="1" si="263"/>
        <v>0</v>
      </c>
      <c r="V613" s="306">
        <f t="shared" ca="1" si="264"/>
        <v>1.2254287345253951</v>
      </c>
      <c r="W613" s="304">
        <f t="shared" ca="1" si="265"/>
        <v>59.175029013585018</v>
      </c>
      <c r="Y613" s="314" t="str">
        <f t="shared" ca="1" si="283"/>
        <v/>
      </c>
      <c r="Z613" s="315" t="str">
        <f t="shared" ca="1" si="284"/>
        <v/>
      </c>
      <c r="AA613" s="316" t="str">
        <f t="shared" ca="1" si="285"/>
        <v/>
      </c>
      <c r="AC613" s="310" t="e">
        <f t="shared" ca="1" si="286"/>
        <v>#N/A</v>
      </c>
      <c r="AD613" s="323" t="e">
        <f t="shared" ca="1" si="287"/>
        <v>#N/A</v>
      </c>
      <c r="AE613" s="324" t="e">
        <f t="shared" ca="1" si="266"/>
        <v>#N/A</v>
      </c>
      <c r="AG613" s="306">
        <f t="shared" ca="1" si="288"/>
        <v>2.3442972093756795</v>
      </c>
      <c r="AH613" s="304">
        <f t="shared" ca="1" si="289"/>
        <v>-7.4181682768727333</v>
      </c>
    </row>
    <row r="614" spans="1:34" x14ac:dyDescent="0.2">
      <c r="A614" s="347">
        <f t="shared" ca="1" si="267"/>
        <v>1E-4</v>
      </c>
      <c r="B614" s="304">
        <f t="shared" ca="1" si="268"/>
        <v>33.60940000000052</v>
      </c>
      <c r="D614" s="306">
        <f t="shared" ca="1" si="269"/>
        <v>-0.72937969561123506</v>
      </c>
      <c r="E614" s="307">
        <f t="shared" ca="1" si="270"/>
        <v>-2.4277384863417764</v>
      </c>
      <c r="F614" s="304">
        <f t="shared" ca="1" si="271"/>
        <v>2.5349376517845559</v>
      </c>
      <c r="G614" s="306">
        <f t="shared" ca="1" si="272"/>
        <v>11.888046929738875</v>
      </c>
      <c r="H614" s="307">
        <f t="shared" ca="1" si="273"/>
        <v>-120.32332044821952</v>
      </c>
      <c r="I614" s="304">
        <f t="shared" ca="1" si="274"/>
        <v>120.90916881481154</v>
      </c>
      <c r="J614" s="306">
        <f t="shared" ca="1" si="275"/>
        <v>755.70453742140728</v>
      </c>
      <c r="K614" s="307">
        <f t="shared" ca="1" si="276"/>
        <v>-3.5112936479679369</v>
      </c>
      <c r="L614" s="304">
        <f t="shared" ca="1" si="261"/>
        <v>755.71269478710315</v>
      </c>
      <c r="M614" s="306">
        <f t="shared" ca="1" si="277"/>
        <v>-1.4723150870586663</v>
      </c>
      <c r="N614" s="304">
        <f t="shared" ca="1" si="278"/>
        <v>-84.357440601897949</v>
      </c>
      <c r="P614" s="310">
        <f t="shared" ca="1" si="279"/>
        <v>23</v>
      </c>
      <c r="Q614" s="304">
        <f t="shared" ca="1" si="280"/>
        <v>0</v>
      </c>
      <c r="R614" s="306">
        <f t="shared" ca="1" si="281"/>
        <v>0</v>
      </c>
      <c r="S614" s="307">
        <f t="shared" ca="1" si="282"/>
        <v>7.9769999999999968</v>
      </c>
      <c r="T614" s="304">
        <f t="shared" ca="1" si="262"/>
        <v>78.254369999999966</v>
      </c>
      <c r="U614" s="311">
        <f t="shared" ca="1" si="263"/>
        <v>0</v>
      </c>
      <c r="V614" s="306">
        <f t="shared" ca="1" si="264"/>
        <v>1.2254302090013829</v>
      </c>
      <c r="W614" s="304">
        <f t="shared" ca="1" si="265"/>
        <v>59.175329680168595</v>
      </c>
      <c r="Y614" s="314" t="str">
        <f t="shared" ca="1" si="283"/>
        <v/>
      </c>
      <c r="Z614" s="315" t="str">
        <f t="shared" ca="1" si="284"/>
        <v/>
      </c>
      <c r="AA614" s="316" t="str">
        <f t="shared" ca="1" si="285"/>
        <v/>
      </c>
      <c r="AC614" s="310" t="e">
        <f t="shared" ca="1" si="286"/>
        <v>#N/A</v>
      </c>
      <c r="AD614" s="323" t="e">
        <f t="shared" ca="1" si="287"/>
        <v>#N/A</v>
      </c>
      <c r="AE614" s="324" t="e">
        <f t="shared" ca="1" si="266"/>
        <v>#N/A</v>
      </c>
      <c r="AG614" s="306">
        <f t="shared" ca="1" si="288"/>
        <v>2.3442602868646922</v>
      </c>
      <c r="AH614" s="304">
        <f t="shared" ca="1" si="289"/>
        <v>-7.4182059688585991</v>
      </c>
    </row>
    <row r="615" spans="1:34" x14ac:dyDescent="0.2">
      <c r="A615" s="347">
        <f t="shared" ca="1" si="267"/>
        <v>1E-4</v>
      </c>
      <c r="B615" s="304">
        <f t="shared" ca="1" si="268"/>
        <v>33.609500000000523</v>
      </c>
      <c r="D615" s="306">
        <f t="shared" ca="1" si="269"/>
        <v>-0.72937751236939607</v>
      </c>
      <c r="E615" s="307">
        <f t="shared" ca="1" si="270"/>
        <v>-2.4277003954277196</v>
      </c>
      <c r="F615" s="304">
        <f t="shared" ca="1" si="271"/>
        <v>2.5349005435144933</v>
      </c>
      <c r="G615" s="306">
        <f t="shared" ca="1" si="272"/>
        <v>11.887973991987639</v>
      </c>
      <c r="H615" s="307">
        <f t="shared" ca="1" si="273"/>
        <v>-120.32356321825907</v>
      </c>
      <c r="I615" s="304">
        <f t="shared" ca="1" si="274"/>
        <v>120.90940323718648</v>
      </c>
      <c r="J615" s="306">
        <f t="shared" ca="1" si="275"/>
        <v>755.70453742140728</v>
      </c>
      <c r="K615" s="307">
        <f t="shared" ca="1" si="276"/>
        <v>-3.523325992151261</v>
      </c>
      <c r="L615" s="304">
        <f t="shared" ca="1" si="261"/>
        <v>755.71275078918052</v>
      </c>
      <c r="M615" s="306">
        <f t="shared" ca="1" si="277"/>
        <v>-1.4723158847965283</v>
      </c>
      <c r="N615" s="304">
        <f t="shared" ca="1" si="278"/>
        <v>-84.357486308910595</v>
      </c>
      <c r="P615" s="310">
        <f t="shared" ca="1" si="279"/>
        <v>23</v>
      </c>
      <c r="Q615" s="304">
        <f t="shared" ca="1" si="280"/>
        <v>0</v>
      </c>
      <c r="R615" s="306">
        <f t="shared" ca="1" si="281"/>
        <v>0</v>
      </c>
      <c r="S615" s="307">
        <f t="shared" ca="1" si="282"/>
        <v>7.9769999999999968</v>
      </c>
      <c r="T615" s="304">
        <f t="shared" ca="1" si="262"/>
        <v>78.254369999999966</v>
      </c>
      <c r="U615" s="311">
        <f t="shared" ca="1" si="263"/>
        <v>0</v>
      </c>
      <c r="V615" s="306">
        <f t="shared" ca="1" si="264"/>
        <v>1.2254316834821202</v>
      </c>
      <c r="W615" s="304">
        <f t="shared" ca="1" si="265"/>
        <v>59.175630344364542</v>
      </c>
      <c r="Y615" s="314" t="str">
        <f t="shared" ca="1" si="283"/>
        <v/>
      </c>
      <c r="Z615" s="315" t="str">
        <f t="shared" ca="1" si="284"/>
        <v/>
      </c>
      <c r="AA615" s="316" t="str">
        <f t="shared" ca="1" si="285"/>
        <v/>
      </c>
      <c r="AC615" s="310" t="e">
        <f t="shared" ca="1" si="286"/>
        <v>#N/A</v>
      </c>
      <c r="AD615" s="323" t="e">
        <f t="shared" ca="1" si="287"/>
        <v>#N/A</v>
      </c>
      <c r="AE615" s="324" t="e">
        <f t="shared" ca="1" si="266"/>
        <v>#N/A</v>
      </c>
      <c r="AG615" s="306">
        <f t="shared" ca="1" si="288"/>
        <v>2.344223364639106</v>
      </c>
      <c r="AH615" s="304">
        <f t="shared" ca="1" si="289"/>
        <v>-7.4182436605451443</v>
      </c>
    </row>
    <row r="616" spans="1:34" x14ac:dyDescent="0.2">
      <c r="A616" s="347">
        <f t="shared" ca="1" si="267"/>
        <v>1E-4</v>
      </c>
      <c r="B616" s="304">
        <f t="shared" ca="1" si="268"/>
        <v>33.609600000000526</v>
      </c>
      <c r="D616" s="306">
        <f t="shared" ca="1" si="269"/>
        <v>-0.72937532909678759</v>
      </c>
      <c r="E616" s="307">
        <f t="shared" ca="1" si="270"/>
        <v>-2.4276623048161374</v>
      </c>
      <c r="F616" s="304">
        <f t="shared" ca="1" si="271"/>
        <v>2.534863435556292</v>
      </c>
      <c r="G616" s="306">
        <f t="shared" ca="1" si="272"/>
        <v>11.88790105445473</v>
      </c>
      <c r="H616" s="307">
        <f t="shared" ca="1" si="273"/>
        <v>-120.32380598448955</v>
      </c>
      <c r="I616" s="304">
        <f t="shared" ca="1" si="274"/>
        <v>120.90963765586923</v>
      </c>
      <c r="J616" s="306">
        <f t="shared" ca="1" si="275"/>
        <v>755.70453742140728</v>
      </c>
      <c r="K616" s="307">
        <f t="shared" ca="1" si="276"/>
        <v>-3.5353583606113985</v>
      </c>
      <c r="L616" s="304">
        <f t="shared" ca="1" si="261"/>
        <v>755.71280698294447</v>
      </c>
      <c r="M616" s="306">
        <f t="shared" ca="1" si="277"/>
        <v>-1.4723166825264027</v>
      </c>
      <c r="N616" s="304">
        <f t="shared" ca="1" si="278"/>
        <v>-84.357532015465594</v>
      </c>
      <c r="P616" s="310">
        <f t="shared" ca="1" si="279"/>
        <v>23</v>
      </c>
      <c r="Q616" s="304">
        <f t="shared" ca="1" si="280"/>
        <v>0</v>
      </c>
      <c r="R616" s="306">
        <f t="shared" ca="1" si="281"/>
        <v>0</v>
      </c>
      <c r="S616" s="307">
        <f t="shared" ca="1" si="282"/>
        <v>7.9769999999999968</v>
      </c>
      <c r="T616" s="304">
        <f t="shared" ca="1" si="262"/>
        <v>78.254369999999966</v>
      </c>
      <c r="U616" s="311">
        <f t="shared" ca="1" si="263"/>
        <v>0</v>
      </c>
      <c r="V616" s="306">
        <f t="shared" ca="1" si="264"/>
        <v>1.225433157967607</v>
      </c>
      <c r="W616" s="304">
        <f t="shared" ca="1" si="265"/>
        <v>59.175931006172817</v>
      </c>
      <c r="Y616" s="314" t="str">
        <f t="shared" ca="1" si="283"/>
        <v/>
      </c>
      <c r="Z616" s="315" t="str">
        <f t="shared" ca="1" si="284"/>
        <v/>
      </c>
      <c r="AA616" s="316" t="str">
        <f t="shared" ca="1" si="285"/>
        <v/>
      </c>
      <c r="AC616" s="310" t="e">
        <f t="shared" ca="1" si="286"/>
        <v>#N/A</v>
      </c>
      <c r="AD616" s="323" t="e">
        <f t="shared" ca="1" si="287"/>
        <v>#N/A</v>
      </c>
      <c r="AE616" s="324" t="e">
        <f t="shared" ca="1" si="266"/>
        <v>#N/A</v>
      </c>
      <c r="AG616" s="306">
        <f t="shared" ca="1" si="288"/>
        <v>2.3441864426989154</v>
      </c>
      <c r="AH616" s="304">
        <f t="shared" ca="1" si="289"/>
        <v>-7.418281351932376</v>
      </c>
    </row>
    <row r="617" spans="1:34" x14ac:dyDescent="0.2">
      <c r="A617" s="347">
        <f t="shared" ca="1" si="267"/>
        <v>1E-4</v>
      </c>
      <c r="B617" s="304">
        <f t="shared" ca="1" si="268"/>
        <v>33.609700000000529</v>
      </c>
      <c r="D617" s="306">
        <f t="shared" ca="1" si="269"/>
        <v>-0.72937314579340895</v>
      </c>
      <c r="E617" s="307">
        <f t="shared" ca="1" si="270"/>
        <v>-2.4276242145070359</v>
      </c>
      <c r="F617" s="304">
        <f t="shared" ca="1" si="271"/>
        <v>2.5348263279099568</v>
      </c>
      <c r="G617" s="306">
        <f t="shared" ca="1" si="272"/>
        <v>11.887828117140151</v>
      </c>
      <c r="H617" s="307">
        <f t="shared" ca="1" si="273"/>
        <v>-120.324048746911</v>
      </c>
      <c r="I617" s="304">
        <f t="shared" ca="1" si="274"/>
        <v>120.90987207085981</v>
      </c>
      <c r="J617" s="306">
        <f t="shared" ca="1" si="275"/>
        <v>755.70453742140728</v>
      </c>
      <c r="K617" s="307">
        <f t="shared" ca="1" si="276"/>
        <v>-3.5473907533479685</v>
      </c>
      <c r="L617" s="304">
        <f t="shared" ca="1" si="261"/>
        <v>755.71286336839603</v>
      </c>
      <c r="M617" s="306">
        <f t="shared" ca="1" si="277"/>
        <v>-1.4723174802482895</v>
      </c>
      <c r="N617" s="304">
        <f t="shared" ca="1" si="278"/>
        <v>-84.357577721562933</v>
      </c>
      <c r="P617" s="310">
        <f t="shared" ca="1" si="279"/>
        <v>23</v>
      </c>
      <c r="Q617" s="304">
        <f t="shared" ca="1" si="280"/>
        <v>0</v>
      </c>
      <c r="R617" s="306">
        <f t="shared" ca="1" si="281"/>
        <v>0</v>
      </c>
      <c r="S617" s="307">
        <f t="shared" ca="1" si="282"/>
        <v>7.9769999999999968</v>
      </c>
      <c r="T617" s="304">
        <f t="shared" ca="1" si="262"/>
        <v>78.254369999999966</v>
      </c>
      <c r="U617" s="311">
        <f t="shared" ca="1" si="263"/>
        <v>0</v>
      </c>
      <c r="V617" s="306">
        <f t="shared" ca="1" si="264"/>
        <v>1.2254346324578433</v>
      </c>
      <c r="W617" s="304">
        <f t="shared" ca="1" si="265"/>
        <v>59.176231665593448</v>
      </c>
      <c r="Y617" s="314" t="str">
        <f t="shared" ca="1" si="283"/>
        <v/>
      </c>
      <c r="Z617" s="315" t="str">
        <f t="shared" ca="1" si="284"/>
        <v/>
      </c>
      <c r="AA617" s="316" t="str">
        <f t="shared" ca="1" si="285"/>
        <v/>
      </c>
      <c r="AC617" s="310" t="e">
        <f t="shared" ca="1" si="286"/>
        <v>#N/A</v>
      </c>
      <c r="AD617" s="323" t="e">
        <f t="shared" ca="1" si="287"/>
        <v>#N/A</v>
      </c>
      <c r="AE617" s="324" t="e">
        <f t="shared" ca="1" si="266"/>
        <v>#N/A</v>
      </c>
      <c r="AG617" s="306">
        <f t="shared" ca="1" si="288"/>
        <v>2.3441495210441268</v>
      </c>
      <c r="AH617" s="304">
        <f t="shared" ca="1" si="289"/>
        <v>-7.4183190430202881</v>
      </c>
    </row>
    <row r="618" spans="1:34" x14ac:dyDescent="0.2">
      <c r="A618" s="347">
        <f t="shared" ca="1" si="267"/>
        <v>1E-4</v>
      </c>
      <c r="B618" s="304">
        <f t="shared" ca="1" si="268"/>
        <v>33.609800000000533</v>
      </c>
      <c r="D618" s="306">
        <f t="shared" ca="1" si="269"/>
        <v>-0.72937096245926214</v>
      </c>
      <c r="E618" s="307">
        <f t="shared" ca="1" si="270"/>
        <v>-2.4275861245004098</v>
      </c>
      <c r="F618" s="304">
        <f t="shared" ca="1" si="271"/>
        <v>2.5347892205754841</v>
      </c>
      <c r="G618" s="306">
        <f t="shared" ca="1" si="272"/>
        <v>11.887755180043905</v>
      </c>
      <c r="H618" s="307">
        <f t="shared" ca="1" si="273"/>
        <v>-120.32429150552345</v>
      </c>
      <c r="I618" s="304">
        <f t="shared" ca="1" si="274"/>
        <v>120.91010648215823</v>
      </c>
      <c r="J618" s="306">
        <f t="shared" ca="1" si="275"/>
        <v>755.70453742140728</v>
      </c>
      <c r="K618" s="307">
        <f t="shared" ca="1" si="276"/>
        <v>-3.5594231703605903</v>
      </c>
      <c r="L618" s="304">
        <f t="shared" ca="1" si="261"/>
        <v>755.71291994553656</v>
      </c>
      <c r="M618" s="306">
        <f t="shared" ca="1" si="277"/>
        <v>-1.4723182779621886</v>
      </c>
      <c r="N618" s="304">
        <f t="shared" ca="1" si="278"/>
        <v>-84.357623427202611</v>
      </c>
      <c r="P618" s="310">
        <f t="shared" ca="1" si="279"/>
        <v>23</v>
      </c>
      <c r="Q618" s="304">
        <f t="shared" ca="1" si="280"/>
        <v>0</v>
      </c>
      <c r="R618" s="306">
        <f t="shared" ca="1" si="281"/>
        <v>0</v>
      </c>
      <c r="S618" s="307">
        <f t="shared" ca="1" si="282"/>
        <v>7.9769999999999968</v>
      </c>
      <c r="T618" s="304">
        <f t="shared" ca="1" si="262"/>
        <v>78.254369999999966</v>
      </c>
      <c r="U618" s="311">
        <f t="shared" ca="1" si="263"/>
        <v>0</v>
      </c>
      <c r="V618" s="306">
        <f t="shared" ca="1" si="264"/>
        <v>1.225436106952829</v>
      </c>
      <c r="W618" s="304">
        <f t="shared" ca="1" si="265"/>
        <v>59.176532322626386</v>
      </c>
      <c r="Y618" s="314" t="str">
        <f t="shared" ca="1" si="283"/>
        <v/>
      </c>
      <c r="Z618" s="315" t="str">
        <f t="shared" ca="1" si="284"/>
        <v/>
      </c>
      <c r="AA618" s="316" t="str">
        <f t="shared" ca="1" si="285"/>
        <v/>
      </c>
      <c r="AC618" s="310" t="e">
        <f t="shared" ca="1" si="286"/>
        <v>#N/A</v>
      </c>
      <c r="AD618" s="323" t="e">
        <f t="shared" ca="1" si="287"/>
        <v>#N/A</v>
      </c>
      <c r="AE618" s="324" t="e">
        <f t="shared" ca="1" si="266"/>
        <v>#N/A</v>
      </c>
      <c r="AG618" s="306">
        <f t="shared" ca="1" si="288"/>
        <v>2.3441125996747392</v>
      </c>
      <c r="AH618" s="304">
        <f t="shared" ca="1" si="289"/>
        <v>-7.4183567338088849</v>
      </c>
    </row>
    <row r="619" spans="1:34" x14ac:dyDescent="0.2">
      <c r="A619" s="347">
        <f t="shared" ca="1" si="267"/>
        <v>1E-4</v>
      </c>
      <c r="B619" s="304">
        <f t="shared" ca="1" si="268"/>
        <v>33.609900000000536</v>
      </c>
      <c r="D619" s="306">
        <f t="shared" ca="1" si="269"/>
        <v>-0.72936877909434794</v>
      </c>
      <c r="E619" s="307">
        <f t="shared" ca="1" si="270"/>
        <v>-2.4275480347962697</v>
      </c>
      <c r="F619" s="304">
        <f t="shared" ca="1" si="271"/>
        <v>2.5347521135528837</v>
      </c>
      <c r="G619" s="306">
        <f t="shared" ca="1" si="272"/>
        <v>11.887682243165996</v>
      </c>
      <c r="H619" s="307">
        <f t="shared" ca="1" si="273"/>
        <v>-120.32453426032693</v>
      </c>
      <c r="I619" s="304">
        <f t="shared" ca="1" si="274"/>
        <v>120.91034088976457</v>
      </c>
      <c r="J619" s="306">
        <f t="shared" ca="1" si="275"/>
        <v>755.70453742140728</v>
      </c>
      <c r="K619" s="307">
        <f t="shared" ca="1" si="276"/>
        <v>-3.5714556116488829</v>
      </c>
      <c r="L619" s="304">
        <f t="shared" ca="1" si="261"/>
        <v>755.71297671436685</v>
      </c>
      <c r="M619" s="306">
        <f t="shared" ca="1" si="277"/>
        <v>-1.4723190756681006</v>
      </c>
      <c r="N619" s="304">
        <f t="shared" ca="1" si="278"/>
        <v>-84.357669132384657</v>
      </c>
      <c r="P619" s="310">
        <f t="shared" ca="1" si="279"/>
        <v>23</v>
      </c>
      <c r="Q619" s="304">
        <f t="shared" ca="1" si="280"/>
        <v>0</v>
      </c>
      <c r="R619" s="306">
        <f t="shared" ca="1" si="281"/>
        <v>0</v>
      </c>
      <c r="S619" s="307">
        <f t="shared" ca="1" si="282"/>
        <v>7.9769999999999968</v>
      </c>
      <c r="T619" s="304">
        <f t="shared" ca="1" si="262"/>
        <v>78.254369999999966</v>
      </c>
      <c r="U619" s="311">
        <f t="shared" ca="1" si="263"/>
        <v>0</v>
      </c>
      <c r="V619" s="306">
        <f t="shared" ca="1" si="264"/>
        <v>1.2254375814525635</v>
      </c>
      <c r="W619" s="304">
        <f t="shared" ca="1" si="265"/>
        <v>59.176832977271658</v>
      </c>
      <c r="Y619" s="314" t="str">
        <f t="shared" ca="1" si="283"/>
        <v/>
      </c>
      <c r="Z619" s="315" t="str">
        <f t="shared" ca="1" si="284"/>
        <v/>
      </c>
      <c r="AA619" s="316" t="str">
        <f t="shared" ca="1" si="285"/>
        <v/>
      </c>
      <c r="AC619" s="310" t="e">
        <f t="shared" ca="1" si="286"/>
        <v>#N/A</v>
      </c>
      <c r="AD619" s="323" t="e">
        <f t="shared" ca="1" si="287"/>
        <v>#N/A</v>
      </c>
      <c r="AE619" s="324" t="e">
        <f t="shared" ca="1" si="266"/>
        <v>#N/A</v>
      </c>
      <c r="AG619" s="306">
        <f t="shared" ca="1" si="288"/>
        <v>2.3440756785907571</v>
      </c>
      <c r="AH619" s="304">
        <f t="shared" ca="1" si="289"/>
        <v>-7.4183944242981585</v>
      </c>
    </row>
    <row r="620" spans="1:34" x14ac:dyDescent="0.2">
      <c r="A620" s="347">
        <f t="shared" ca="1" si="267"/>
        <v>1E-4</v>
      </c>
      <c r="B620" s="304">
        <f t="shared" ca="1" si="268"/>
        <v>33.610000000000539</v>
      </c>
      <c r="D620" s="306">
        <f t="shared" ca="1" si="269"/>
        <v>-0.72936659569866524</v>
      </c>
      <c r="E620" s="307">
        <f t="shared" ca="1" si="270"/>
        <v>-2.4275099453946085</v>
      </c>
      <c r="F620" s="304">
        <f t="shared" ca="1" si="271"/>
        <v>2.5347150068421489</v>
      </c>
      <c r="G620" s="306">
        <f t="shared" ca="1" si="272"/>
        <v>11.887609306506425</v>
      </c>
      <c r="H620" s="307">
        <f t="shared" ca="1" si="273"/>
        <v>-120.32477701132147</v>
      </c>
      <c r="I620" s="304">
        <f t="shared" ca="1" si="274"/>
        <v>120.91057529367882</v>
      </c>
      <c r="J620" s="306">
        <f t="shared" ca="1" si="275"/>
        <v>755.70453742140728</v>
      </c>
      <c r="K620" s="307">
        <f t="shared" ca="1" si="276"/>
        <v>-3.5834880772124653</v>
      </c>
      <c r="L620" s="304">
        <f t="shared" ca="1" si="261"/>
        <v>755.71303367488815</v>
      </c>
      <c r="M620" s="306">
        <f t="shared" ca="1" si="277"/>
        <v>-1.4723198733660252</v>
      </c>
      <c r="N620" s="304">
        <f t="shared" ca="1" si="278"/>
        <v>-84.357714837109071</v>
      </c>
      <c r="P620" s="310">
        <f t="shared" ca="1" si="279"/>
        <v>23</v>
      </c>
      <c r="Q620" s="304">
        <f t="shared" ca="1" si="280"/>
        <v>0</v>
      </c>
      <c r="R620" s="306">
        <f t="shared" ca="1" si="281"/>
        <v>0</v>
      </c>
      <c r="S620" s="307">
        <f t="shared" ca="1" si="282"/>
        <v>7.9769999999999968</v>
      </c>
      <c r="T620" s="304">
        <f t="shared" ca="1" si="262"/>
        <v>78.254369999999966</v>
      </c>
      <c r="U620" s="311">
        <f t="shared" ca="1" si="263"/>
        <v>0</v>
      </c>
      <c r="V620" s="306">
        <f t="shared" ca="1" si="264"/>
        <v>1.2254390559570481</v>
      </c>
      <c r="W620" s="304">
        <f t="shared" ca="1" si="265"/>
        <v>59.177133629529287</v>
      </c>
      <c r="Y620" s="314" t="str">
        <f t="shared" ca="1" si="283"/>
        <v/>
      </c>
      <c r="Z620" s="315" t="str">
        <f t="shared" ca="1" si="284"/>
        <v/>
      </c>
      <c r="AA620" s="316" t="str">
        <f t="shared" ca="1" si="285"/>
        <v/>
      </c>
      <c r="AC620" s="310" t="e">
        <f t="shared" ca="1" si="286"/>
        <v>#N/A</v>
      </c>
      <c r="AD620" s="323" t="e">
        <f t="shared" ca="1" si="287"/>
        <v>#N/A</v>
      </c>
      <c r="AE620" s="324" t="e">
        <f t="shared" ca="1" si="266"/>
        <v>#N/A</v>
      </c>
      <c r="AG620" s="306">
        <f t="shared" ca="1" si="288"/>
        <v>2.3440387577921777</v>
      </c>
      <c r="AH620" s="304">
        <f t="shared" ca="1" si="289"/>
        <v>-7.4184321144881133</v>
      </c>
    </row>
    <row r="621" spans="1:34" x14ac:dyDescent="0.2">
      <c r="A621" s="347">
        <f t="shared" ca="1" si="267"/>
        <v>1E-4</v>
      </c>
      <c r="B621" s="304">
        <f t="shared" ca="1" si="268"/>
        <v>33.610100000000543</v>
      </c>
      <c r="D621" s="306">
        <f t="shared" ca="1" si="269"/>
        <v>-0.7293644122722176</v>
      </c>
      <c r="E621" s="307">
        <f t="shared" ca="1" si="270"/>
        <v>-2.4274718562954245</v>
      </c>
      <c r="F621" s="304">
        <f t="shared" ca="1" si="271"/>
        <v>2.5346779004432793</v>
      </c>
      <c r="G621" s="306">
        <f t="shared" ca="1" si="272"/>
        <v>11.887536370065197</v>
      </c>
      <c r="H621" s="307">
        <f t="shared" ca="1" si="273"/>
        <v>-120.3250197585071</v>
      </c>
      <c r="I621" s="304">
        <f t="shared" ca="1" si="274"/>
        <v>120.91080969390102</v>
      </c>
      <c r="J621" s="306">
        <f t="shared" ca="1" si="275"/>
        <v>755.70453742140728</v>
      </c>
      <c r="K621" s="307">
        <f t="shared" ca="1" si="276"/>
        <v>-3.5955205670509569</v>
      </c>
      <c r="L621" s="304">
        <f t="shared" ca="1" si="261"/>
        <v>755.71309082710172</v>
      </c>
      <c r="M621" s="306">
        <f t="shared" ca="1" si="277"/>
        <v>-1.4723206710559626</v>
      </c>
      <c r="N621" s="304">
        <f t="shared" ca="1" si="278"/>
        <v>-84.357760541375839</v>
      </c>
      <c r="P621" s="310">
        <f t="shared" ca="1" si="279"/>
        <v>23</v>
      </c>
      <c r="Q621" s="304">
        <f t="shared" ca="1" si="280"/>
        <v>0</v>
      </c>
      <c r="R621" s="306">
        <f t="shared" ca="1" si="281"/>
        <v>0</v>
      </c>
      <c r="S621" s="307">
        <f t="shared" ca="1" si="282"/>
        <v>7.9769999999999968</v>
      </c>
      <c r="T621" s="304">
        <f t="shared" ca="1" si="262"/>
        <v>78.254369999999966</v>
      </c>
      <c r="U621" s="311">
        <f t="shared" ca="1" si="263"/>
        <v>0</v>
      </c>
      <c r="V621" s="306">
        <f t="shared" ca="1" si="264"/>
        <v>1.2254405304662814</v>
      </c>
      <c r="W621" s="304">
        <f t="shared" ca="1" si="265"/>
        <v>59.177434279399236</v>
      </c>
      <c r="Y621" s="314" t="str">
        <f t="shared" ca="1" si="283"/>
        <v/>
      </c>
      <c r="Z621" s="315" t="str">
        <f t="shared" ca="1" si="284"/>
        <v/>
      </c>
      <c r="AA621" s="316" t="str">
        <f t="shared" ca="1" si="285"/>
        <v/>
      </c>
      <c r="AC621" s="310" t="e">
        <f t="shared" ca="1" si="286"/>
        <v>#N/A</v>
      </c>
      <c r="AD621" s="323" t="e">
        <f t="shared" ca="1" si="287"/>
        <v>#N/A</v>
      </c>
      <c r="AE621" s="324" t="e">
        <f t="shared" ca="1" si="266"/>
        <v>#N/A</v>
      </c>
      <c r="AG621" s="306">
        <f t="shared" ca="1" si="288"/>
        <v>2.3440018372789959</v>
      </c>
      <c r="AH621" s="304">
        <f t="shared" ca="1" si="289"/>
        <v>-7.4184698043787529</v>
      </c>
    </row>
    <row r="622" spans="1:34" x14ac:dyDescent="0.2">
      <c r="A622" s="347">
        <f t="shared" ca="1" si="267"/>
        <v>1E-4</v>
      </c>
      <c r="B622" s="304">
        <f t="shared" ca="1" si="268"/>
        <v>33.610200000000546</v>
      </c>
      <c r="D622" s="306">
        <f t="shared" ca="1" si="269"/>
        <v>-0.72936222881500434</v>
      </c>
      <c r="E622" s="307">
        <f t="shared" ca="1" si="270"/>
        <v>-2.427433767498723</v>
      </c>
      <c r="F622" s="304">
        <f t="shared" ca="1" si="271"/>
        <v>2.5346407943562803</v>
      </c>
      <c r="G622" s="306">
        <f t="shared" ca="1" si="272"/>
        <v>11.887463433842315</v>
      </c>
      <c r="H622" s="307">
        <f t="shared" ca="1" si="273"/>
        <v>-120.32526250188384</v>
      </c>
      <c r="I622" s="304">
        <f t="shared" ca="1" si="274"/>
        <v>120.91104409043118</v>
      </c>
      <c r="J622" s="306">
        <f t="shared" ca="1" si="275"/>
        <v>755.70453742140728</v>
      </c>
      <c r="K622" s="307">
        <f t="shared" ca="1" si="276"/>
        <v>-3.6075530811639767</v>
      </c>
      <c r="L622" s="304">
        <f t="shared" ca="1" si="261"/>
        <v>755.71314817100847</v>
      </c>
      <c r="M622" s="306">
        <f t="shared" ca="1" si="277"/>
        <v>-1.4723214687379131</v>
      </c>
      <c r="N622" s="304">
        <f t="shared" ca="1" si="278"/>
        <v>-84.357806245185003</v>
      </c>
      <c r="P622" s="310">
        <f t="shared" ca="1" si="279"/>
        <v>23</v>
      </c>
      <c r="Q622" s="304">
        <f t="shared" ca="1" si="280"/>
        <v>0</v>
      </c>
      <c r="R622" s="306">
        <f t="shared" ca="1" si="281"/>
        <v>0</v>
      </c>
      <c r="S622" s="307">
        <f t="shared" ca="1" si="282"/>
        <v>7.9769999999999968</v>
      </c>
      <c r="T622" s="304">
        <f t="shared" ca="1" si="262"/>
        <v>78.254369999999966</v>
      </c>
      <c r="U622" s="311">
        <f t="shared" ca="1" si="263"/>
        <v>0</v>
      </c>
      <c r="V622" s="306">
        <f t="shared" ca="1" si="264"/>
        <v>1.2254420049802641</v>
      </c>
      <c r="W622" s="304">
        <f t="shared" ca="1" si="265"/>
        <v>59.177734926881477</v>
      </c>
      <c r="Y622" s="314" t="str">
        <f t="shared" ca="1" si="283"/>
        <v/>
      </c>
      <c r="Z622" s="315" t="str">
        <f t="shared" ca="1" si="284"/>
        <v/>
      </c>
      <c r="AA622" s="316" t="str">
        <f t="shared" ca="1" si="285"/>
        <v/>
      </c>
      <c r="AC622" s="310" t="e">
        <f t="shared" ca="1" si="286"/>
        <v>#N/A</v>
      </c>
      <c r="AD622" s="323" t="e">
        <f t="shared" ca="1" si="287"/>
        <v>#N/A</v>
      </c>
      <c r="AE622" s="324" t="e">
        <f t="shared" ca="1" si="266"/>
        <v>#N/A</v>
      </c>
      <c r="AG622" s="306">
        <f t="shared" ca="1" si="288"/>
        <v>2.3439649170512213</v>
      </c>
      <c r="AH622" s="304">
        <f t="shared" ca="1" si="289"/>
        <v>-7.418507493970071</v>
      </c>
    </row>
    <row r="623" spans="1:34" x14ac:dyDescent="0.2">
      <c r="A623" s="347">
        <f t="shared" ca="1" si="267"/>
        <v>1E-4</v>
      </c>
      <c r="B623" s="304">
        <f t="shared" ca="1" si="268"/>
        <v>33.610300000000549</v>
      </c>
      <c r="D623" s="306">
        <f t="shared" ca="1" si="269"/>
        <v>-0.72936004532702547</v>
      </c>
      <c r="E623" s="307">
        <f t="shared" ca="1" si="270"/>
        <v>-2.4273956790045057</v>
      </c>
      <c r="F623" s="304">
        <f t="shared" ca="1" si="271"/>
        <v>2.5346036885811527</v>
      </c>
      <c r="G623" s="306">
        <f t="shared" ca="1" si="272"/>
        <v>11.887390497837783</v>
      </c>
      <c r="H623" s="307">
        <f t="shared" ca="1" si="273"/>
        <v>-120.32550524145174</v>
      </c>
      <c r="I623" s="304">
        <f t="shared" ca="1" si="274"/>
        <v>120.91127848326934</v>
      </c>
      <c r="J623" s="306">
        <f t="shared" ca="1" si="275"/>
        <v>755.70453742140728</v>
      </c>
      <c r="K623" s="307">
        <f t="shared" ca="1" si="276"/>
        <v>-3.6195856195511436</v>
      </c>
      <c r="L623" s="304">
        <f t="shared" ca="1" si="261"/>
        <v>755.71320570660964</v>
      </c>
      <c r="M623" s="306">
        <f t="shared" ca="1" si="277"/>
        <v>-1.4723222664118767</v>
      </c>
      <c r="N623" s="304">
        <f t="shared" ca="1" si="278"/>
        <v>-84.357851948536535</v>
      </c>
      <c r="P623" s="310">
        <f t="shared" ca="1" si="279"/>
        <v>23</v>
      </c>
      <c r="Q623" s="304">
        <f t="shared" ca="1" si="280"/>
        <v>0</v>
      </c>
      <c r="R623" s="306">
        <f t="shared" ca="1" si="281"/>
        <v>0</v>
      </c>
      <c r="S623" s="307">
        <f t="shared" ca="1" si="282"/>
        <v>7.9769999999999968</v>
      </c>
      <c r="T623" s="304">
        <f t="shared" ca="1" si="262"/>
        <v>78.254369999999966</v>
      </c>
      <c r="U623" s="311">
        <f t="shared" ca="1" si="263"/>
        <v>0</v>
      </c>
      <c r="V623" s="306">
        <f t="shared" ca="1" si="264"/>
        <v>1.2254434794989961</v>
      </c>
      <c r="W623" s="304">
        <f t="shared" ca="1" si="265"/>
        <v>59.178035571976046</v>
      </c>
      <c r="Y623" s="314" t="str">
        <f t="shared" ca="1" si="283"/>
        <v/>
      </c>
      <c r="Z623" s="315" t="str">
        <f t="shared" ca="1" si="284"/>
        <v/>
      </c>
      <c r="AA623" s="316" t="str">
        <f t="shared" ca="1" si="285"/>
        <v/>
      </c>
      <c r="AC623" s="310" t="e">
        <f t="shared" ca="1" si="286"/>
        <v>#N/A</v>
      </c>
      <c r="AD623" s="323" t="e">
        <f t="shared" ca="1" si="287"/>
        <v>#N/A</v>
      </c>
      <c r="AE623" s="324" t="e">
        <f t="shared" ca="1" si="266"/>
        <v>#N/A</v>
      </c>
      <c r="AG623" s="306">
        <f t="shared" ca="1" si="288"/>
        <v>2.3439279971088558</v>
      </c>
      <c r="AH623" s="304">
        <f t="shared" ca="1" si="289"/>
        <v>-7.4185451832620659</v>
      </c>
    </row>
    <row r="624" spans="1:34" x14ac:dyDescent="0.2">
      <c r="A624" s="347">
        <f t="shared" ca="1" si="267"/>
        <v>1E-4</v>
      </c>
      <c r="B624" s="304">
        <f t="shared" ca="1" si="268"/>
        <v>33.610400000000553</v>
      </c>
      <c r="D624" s="306">
        <f t="shared" ca="1" si="269"/>
        <v>-0.72935786180828277</v>
      </c>
      <c r="E624" s="307">
        <f t="shared" ca="1" si="270"/>
        <v>-2.4273575908127691</v>
      </c>
      <c r="F624" s="304">
        <f t="shared" ca="1" si="271"/>
        <v>2.5345665831178947</v>
      </c>
      <c r="G624" s="306">
        <f t="shared" ca="1" si="272"/>
        <v>11.887317562051603</v>
      </c>
      <c r="H624" s="307">
        <f t="shared" ca="1" si="273"/>
        <v>-120.32574797721082</v>
      </c>
      <c r="I624" s="304">
        <f t="shared" ca="1" si="274"/>
        <v>120.91151287241556</v>
      </c>
      <c r="J624" s="306">
        <f t="shared" ca="1" si="275"/>
        <v>755.70453742140728</v>
      </c>
      <c r="K624" s="307">
        <f t="shared" ca="1" si="276"/>
        <v>-3.6316181822120766</v>
      </c>
      <c r="L624" s="304">
        <f t="shared" ca="1" si="261"/>
        <v>755.71326343390615</v>
      </c>
      <c r="M624" s="306">
        <f t="shared" ca="1" si="277"/>
        <v>-1.4723230640778535</v>
      </c>
      <c r="N624" s="304">
        <f t="shared" ca="1" si="278"/>
        <v>-84.357897651430477</v>
      </c>
      <c r="P624" s="310">
        <f t="shared" ca="1" si="279"/>
        <v>23</v>
      </c>
      <c r="Q624" s="304">
        <f t="shared" ca="1" si="280"/>
        <v>0</v>
      </c>
      <c r="R624" s="306">
        <f t="shared" ca="1" si="281"/>
        <v>0</v>
      </c>
      <c r="S624" s="307">
        <f t="shared" ca="1" si="282"/>
        <v>7.9769999999999968</v>
      </c>
      <c r="T624" s="304">
        <f t="shared" ca="1" si="262"/>
        <v>78.254369999999966</v>
      </c>
      <c r="U624" s="311">
        <f t="shared" ca="1" si="263"/>
        <v>0</v>
      </c>
      <c r="V624" s="306">
        <f t="shared" ca="1" si="264"/>
        <v>1.2254449540224768</v>
      </c>
      <c r="W624" s="304">
        <f t="shared" ca="1" si="265"/>
        <v>59.178336214682929</v>
      </c>
      <c r="Y624" s="314" t="str">
        <f t="shared" ca="1" si="283"/>
        <v/>
      </c>
      <c r="Z624" s="315" t="str">
        <f t="shared" ca="1" si="284"/>
        <v/>
      </c>
      <c r="AA624" s="316" t="str">
        <f t="shared" ca="1" si="285"/>
        <v/>
      </c>
      <c r="AC624" s="310" t="e">
        <f t="shared" ca="1" si="286"/>
        <v>#N/A</v>
      </c>
      <c r="AD624" s="323" t="e">
        <f t="shared" ca="1" si="287"/>
        <v>#N/A</v>
      </c>
      <c r="AE624" s="324" t="e">
        <f t="shared" ca="1" si="266"/>
        <v>#N/A</v>
      </c>
      <c r="AG624" s="306">
        <f t="shared" ca="1" si="288"/>
        <v>2.3438910774518957</v>
      </c>
      <c r="AH624" s="304">
        <f t="shared" ca="1" si="289"/>
        <v>-7.4185828722547411</v>
      </c>
    </row>
    <row r="625" spans="1:34" x14ac:dyDescent="0.2">
      <c r="A625" s="347">
        <f t="shared" ca="1" si="267"/>
        <v>1E-4</v>
      </c>
      <c r="B625" s="304">
        <f t="shared" ca="1" si="268"/>
        <v>33.610500000000556</v>
      </c>
      <c r="D625" s="306">
        <f t="shared" ca="1" si="269"/>
        <v>-0.72935567825877612</v>
      </c>
      <c r="E625" s="307">
        <f t="shared" ca="1" si="270"/>
        <v>-2.4273195029235151</v>
      </c>
      <c r="F625" s="304">
        <f t="shared" ca="1" si="271"/>
        <v>2.5345294779665082</v>
      </c>
      <c r="G625" s="306">
        <f t="shared" ca="1" si="272"/>
        <v>11.887244626483778</v>
      </c>
      <c r="H625" s="307">
        <f t="shared" ca="1" si="273"/>
        <v>-120.32599070916112</v>
      </c>
      <c r="I625" s="304">
        <f t="shared" ca="1" si="274"/>
        <v>120.91174725786983</v>
      </c>
      <c r="J625" s="306">
        <f t="shared" ca="1" si="275"/>
        <v>755.70453742140728</v>
      </c>
      <c r="K625" s="307">
        <f t="shared" ca="1" si="276"/>
        <v>-3.6436507691463951</v>
      </c>
      <c r="L625" s="304">
        <f t="shared" ca="1" si="261"/>
        <v>755.71332135289947</v>
      </c>
      <c r="M625" s="306">
        <f t="shared" ca="1" si="277"/>
        <v>-1.4723238617358436</v>
      </c>
      <c r="N625" s="304">
        <f t="shared" ca="1" si="278"/>
        <v>-84.357943353866801</v>
      </c>
      <c r="P625" s="310">
        <f t="shared" ca="1" si="279"/>
        <v>23</v>
      </c>
      <c r="Q625" s="304">
        <f t="shared" ca="1" si="280"/>
        <v>0</v>
      </c>
      <c r="R625" s="306">
        <f t="shared" ca="1" si="281"/>
        <v>0</v>
      </c>
      <c r="S625" s="307">
        <f t="shared" ca="1" si="282"/>
        <v>7.9769999999999968</v>
      </c>
      <c r="T625" s="304">
        <f t="shared" ca="1" si="262"/>
        <v>78.254369999999966</v>
      </c>
      <c r="U625" s="311">
        <f t="shared" ca="1" si="263"/>
        <v>0</v>
      </c>
      <c r="V625" s="306">
        <f t="shared" ca="1" si="264"/>
        <v>1.2254464285507072</v>
      </c>
      <c r="W625" s="304">
        <f t="shared" ca="1" si="265"/>
        <v>59.178636855002161</v>
      </c>
      <c r="Y625" s="314" t="str">
        <f t="shared" ca="1" si="283"/>
        <v/>
      </c>
      <c r="Z625" s="315" t="str">
        <f t="shared" ca="1" si="284"/>
        <v/>
      </c>
      <c r="AA625" s="316" t="str">
        <f t="shared" ca="1" si="285"/>
        <v/>
      </c>
      <c r="AC625" s="310" t="e">
        <f t="shared" ca="1" si="286"/>
        <v>#N/A</v>
      </c>
      <c r="AD625" s="323" t="e">
        <f t="shared" ca="1" si="287"/>
        <v>#N/A</v>
      </c>
      <c r="AE625" s="324" t="e">
        <f t="shared" ca="1" si="266"/>
        <v>#N/A</v>
      </c>
      <c r="AG625" s="306">
        <f t="shared" ca="1" si="288"/>
        <v>2.3438541580803394</v>
      </c>
      <c r="AH625" s="304">
        <f t="shared" ca="1" si="289"/>
        <v>-7.4186205609480949</v>
      </c>
    </row>
    <row r="626" spans="1:34" x14ac:dyDescent="0.2">
      <c r="A626" s="347">
        <f t="shared" ca="1" si="267"/>
        <v>1E-4</v>
      </c>
      <c r="B626" s="304">
        <f t="shared" ca="1" si="268"/>
        <v>33.610600000000559</v>
      </c>
      <c r="D626" s="306">
        <f t="shared" ca="1" si="269"/>
        <v>-0.72935349467850752</v>
      </c>
      <c r="E626" s="307">
        <f t="shared" ca="1" si="270"/>
        <v>-2.4272814153367399</v>
      </c>
      <c r="F626" s="304">
        <f t="shared" ca="1" si="271"/>
        <v>2.5344923731269895</v>
      </c>
      <c r="G626" s="306">
        <f t="shared" ca="1" si="272"/>
        <v>11.887171691134309</v>
      </c>
      <c r="H626" s="307">
        <f t="shared" ca="1" si="273"/>
        <v>-120.32623343730265</v>
      </c>
      <c r="I626" s="304">
        <f t="shared" ca="1" si="274"/>
        <v>120.9119816396322</v>
      </c>
      <c r="J626" s="306">
        <f t="shared" ca="1" si="275"/>
        <v>755.70453742140728</v>
      </c>
      <c r="K626" s="307">
        <f t="shared" ca="1" si="276"/>
        <v>-3.6556833803537181</v>
      </c>
      <c r="L626" s="304">
        <f t="shared" ca="1" si="261"/>
        <v>755.7133794635904</v>
      </c>
      <c r="M626" s="306">
        <f t="shared" ca="1" si="277"/>
        <v>-1.4723246593858472</v>
      </c>
      <c r="N626" s="304">
        <f t="shared" ca="1" si="278"/>
        <v>-84.357989055845536</v>
      </c>
      <c r="P626" s="310">
        <f t="shared" ca="1" si="279"/>
        <v>23</v>
      </c>
      <c r="Q626" s="304">
        <f t="shared" ca="1" si="280"/>
        <v>0</v>
      </c>
      <c r="R626" s="306">
        <f t="shared" ca="1" si="281"/>
        <v>0</v>
      </c>
      <c r="S626" s="307">
        <f t="shared" ca="1" si="282"/>
        <v>7.9769999999999968</v>
      </c>
      <c r="T626" s="304">
        <f t="shared" ca="1" si="262"/>
        <v>78.254369999999966</v>
      </c>
      <c r="U626" s="311">
        <f t="shared" ca="1" si="263"/>
        <v>0</v>
      </c>
      <c r="V626" s="306">
        <f t="shared" ca="1" si="264"/>
        <v>1.2254479030836865</v>
      </c>
      <c r="W626" s="304">
        <f t="shared" ca="1" si="265"/>
        <v>59.178937492933677</v>
      </c>
      <c r="Y626" s="314" t="str">
        <f t="shared" ca="1" si="283"/>
        <v/>
      </c>
      <c r="Z626" s="315" t="str">
        <f t="shared" ca="1" si="284"/>
        <v/>
      </c>
      <c r="AA626" s="316" t="str">
        <f t="shared" ca="1" si="285"/>
        <v/>
      </c>
      <c r="AC626" s="310" t="e">
        <f t="shared" ca="1" si="286"/>
        <v>#N/A</v>
      </c>
      <c r="AD626" s="323" t="e">
        <f t="shared" ca="1" si="287"/>
        <v>#N/A</v>
      </c>
      <c r="AE626" s="324" t="e">
        <f t="shared" ca="1" si="266"/>
        <v>#N/A</v>
      </c>
      <c r="AG626" s="306">
        <f t="shared" ca="1" si="288"/>
        <v>2.3438172389941876</v>
      </c>
      <c r="AH626" s="304">
        <f t="shared" ca="1" si="289"/>
        <v>-7.4186582493421316</v>
      </c>
    </row>
    <row r="627" spans="1:34" x14ac:dyDescent="0.2">
      <c r="A627" s="347">
        <f t="shared" ca="1" si="267"/>
        <v>1E-4</v>
      </c>
      <c r="B627" s="304">
        <f t="shared" ca="1" si="268"/>
        <v>33.610700000000563</v>
      </c>
      <c r="D627" s="306">
        <f t="shared" ca="1" si="269"/>
        <v>-0.72935131106747619</v>
      </c>
      <c r="E627" s="307">
        <f t="shared" ca="1" si="270"/>
        <v>-2.4272433280524499</v>
      </c>
      <c r="F627" s="304">
        <f t="shared" ca="1" si="271"/>
        <v>2.5344552685993453</v>
      </c>
      <c r="G627" s="306">
        <f t="shared" ca="1" si="272"/>
        <v>11.887098756003203</v>
      </c>
      <c r="H627" s="307">
        <f t="shared" ca="1" si="273"/>
        <v>-120.32647616163545</v>
      </c>
      <c r="I627" s="304">
        <f t="shared" ca="1" si="274"/>
        <v>120.91221601770269</v>
      </c>
      <c r="J627" s="306">
        <f t="shared" ca="1" si="275"/>
        <v>755.70453742140728</v>
      </c>
      <c r="K627" s="307">
        <f t="shared" ca="1" si="276"/>
        <v>-3.667716015833665</v>
      </c>
      <c r="L627" s="304">
        <f t="shared" ca="1" si="261"/>
        <v>755.71343776598019</v>
      </c>
      <c r="M627" s="306">
        <f t="shared" ca="1" si="277"/>
        <v>-1.4723254570278643</v>
      </c>
      <c r="N627" s="304">
        <f t="shared" ca="1" si="278"/>
        <v>-84.358034757366681</v>
      </c>
      <c r="P627" s="310">
        <f t="shared" ca="1" si="279"/>
        <v>23</v>
      </c>
      <c r="Q627" s="304">
        <f t="shared" ca="1" si="280"/>
        <v>0</v>
      </c>
      <c r="R627" s="306">
        <f t="shared" ca="1" si="281"/>
        <v>0</v>
      </c>
      <c r="S627" s="307">
        <f t="shared" ca="1" si="282"/>
        <v>7.9769999999999968</v>
      </c>
      <c r="T627" s="304">
        <f t="shared" ca="1" si="262"/>
        <v>78.254369999999966</v>
      </c>
      <c r="U627" s="311">
        <f t="shared" ca="1" si="263"/>
        <v>0</v>
      </c>
      <c r="V627" s="306">
        <f t="shared" ca="1" si="264"/>
        <v>1.2254493776214144</v>
      </c>
      <c r="W627" s="304">
        <f t="shared" ca="1" si="265"/>
        <v>59.179238128477479</v>
      </c>
      <c r="Y627" s="314" t="str">
        <f t="shared" ca="1" si="283"/>
        <v/>
      </c>
      <c r="Z627" s="315" t="str">
        <f t="shared" ca="1" si="284"/>
        <v/>
      </c>
      <c r="AA627" s="316" t="str">
        <f t="shared" ca="1" si="285"/>
        <v/>
      </c>
      <c r="AC627" s="310" t="e">
        <f t="shared" ca="1" si="286"/>
        <v>#N/A</v>
      </c>
      <c r="AD627" s="323" t="e">
        <f t="shared" ca="1" si="287"/>
        <v>#N/A</v>
      </c>
      <c r="AE627" s="324" t="e">
        <f t="shared" ca="1" si="266"/>
        <v>#N/A</v>
      </c>
      <c r="AG627" s="306">
        <f t="shared" ca="1" si="288"/>
        <v>2.3437803201934448</v>
      </c>
      <c r="AH627" s="304">
        <f t="shared" ca="1" si="289"/>
        <v>-7.4186959374368433</v>
      </c>
    </row>
    <row r="628" spans="1:34" x14ac:dyDescent="0.2">
      <c r="A628" s="347">
        <f t="shared" ca="1" si="267"/>
        <v>1E-4</v>
      </c>
      <c r="B628" s="304">
        <f t="shared" ca="1" si="268"/>
        <v>33.610800000000566</v>
      </c>
      <c r="D628" s="306">
        <f t="shared" ca="1" si="269"/>
        <v>-0.72934912742568403</v>
      </c>
      <c r="E628" s="307">
        <f t="shared" ca="1" si="270"/>
        <v>-2.4272052410706459</v>
      </c>
      <c r="F628" s="304">
        <f t="shared" ca="1" si="271"/>
        <v>2.5344181643835766</v>
      </c>
      <c r="G628" s="306">
        <f t="shared" ca="1" si="272"/>
        <v>11.887025821090461</v>
      </c>
      <c r="H628" s="307">
        <f t="shared" ca="1" si="273"/>
        <v>-120.32671888215957</v>
      </c>
      <c r="I628" s="304">
        <f t="shared" ca="1" si="274"/>
        <v>120.91245039208133</v>
      </c>
      <c r="J628" s="306">
        <f t="shared" ca="1" si="275"/>
        <v>755.70453742140728</v>
      </c>
      <c r="K628" s="307">
        <f t="shared" ca="1" si="276"/>
        <v>-3.6797486755858548</v>
      </c>
      <c r="L628" s="304">
        <f t="shared" ca="1" si="261"/>
        <v>755.71349626006986</v>
      </c>
      <c r="M628" s="306">
        <f t="shared" ca="1" si="277"/>
        <v>-1.4723262546618954</v>
      </c>
      <c r="N628" s="304">
        <f t="shared" ca="1" si="278"/>
        <v>-84.358080458430251</v>
      </c>
      <c r="P628" s="310">
        <f t="shared" ca="1" si="279"/>
        <v>23</v>
      </c>
      <c r="Q628" s="304">
        <f t="shared" ca="1" si="280"/>
        <v>0</v>
      </c>
      <c r="R628" s="306">
        <f t="shared" ca="1" si="281"/>
        <v>0</v>
      </c>
      <c r="S628" s="307">
        <f t="shared" ca="1" si="282"/>
        <v>7.9769999999999968</v>
      </c>
      <c r="T628" s="304">
        <f t="shared" ca="1" si="262"/>
        <v>78.254369999999966</v>
      </c>
      <c r="U628" s="311">
        <f t="shared" ca="1" si="263"/>
        <v>0</v>
      </c>
      <c r="V628" s="306">
        <f t="shared" ca="1" si="264"/>
        <v>1.225450852163892</v>
      </c>
      <c r="W628" s="304">
        <f t="shared" ca="1" si="265"/>
        <v>59.179538761633616</v>
      </c>
      <c r="Y628" s="314" t="str">
        <f t="shared" ca="1" si="283"/>
        <v/>
      </c>
      <c r="Z628" s="315" t="str">
        <f t="shared" ca="1" si="284"/>
        <v/>
      </c>
      <c r="AA628" s="316" t="str">
        <f t="shared" ca="1" si="285"/>
        <v/>
      </c>
      <c r="AC628" s="310" t="e">
        <f t="shared" ca="1" si="286"/>
        <v>#N/A</v>
      </c>
      <c r="AD628" s="323" t="e">
        <f t="shared" ca="1" si="287"/>
        <v>#N/A</v>
      </c>
      <c r="AE628" s="324" t="e">
        <f t="shared" ca="1" si="266"/>
        <v>#N/A</v>
      </c>
      <c r="AG628" s="306">
        <f t="shared" ca="1" si="288"/>
        <v>2.3437434016781173</v>
      </c>
      <c r="AH628" s="304">
        <f t="shared" ca="1" si="289"/>
        <v>-7.4187336252322309</v>
      </c>
    </row>
    <row r="629" spans="1:34" x14ac:dyDescent="0.2">
      <c r="A629" s="347">
        <f t="shared" ca="1" si="267"/>
        <v>1E-4</v>
      </c>
      <c r="B629" s="304">
        <f t="shared" ca="1" si="268"/>
        <v>33.610900000000569</v>
      </c>
      <c r="D629" s="306">
        <f t="shared" ca="1" si="269"/>
        <v>-0.72934694375312936</v>
      </c>
      <c r="E629" s="307">
        <f t="shared" ca="1" si="270"/>
        <v>-2.4271671543913227</v>
      </c>
      <c r="F629" s="304">
        <f t="shared" ca="1" si="271"/>
        <v>2.5343810604796788</v>
      </c>
      <c r="G629" s="306">
        <f t="shared" ca="1" si="272"/>
        <v>11.886952886396086</v>
      </c>
      <c r="H629" s="307">
        <f t="shared" ca="1" si="273"/>
        <v>-120.326961598875</v>
      </c>
      <c r="I629" s="304">
        <f t="shared" ca="1" si="274"/>
        <v>120.91268476276812</v>
      </c>
      <c r="J629" s="306">
        <f t="shared" ca="1" si="275"/>
        <v>755.70453742140728</v>
      </c>
      <c r="K629" s="307">
        <f t="shared" ca="1" si="276"/>
        <v>-3.6917813596099065</v>
      </c>
      <c r="L629" s="304">
        <f t="shared" ca="1" si="261"/>
        <v>755.71355494586066</v>
      </c>
      <c r="M629" s="306">
        <f t="shared" ca="1" si="277"/>
        <v>-1.4723270522879399</v>
      </c>
      <c r="N629" s="304">
        <f t="shared" ca="1" si="278"/>
        <v>-84.358126159036232</v>
      </c>
      <c r="P629" s="310">
        <f t="shared" ca="1" si="279"/>
        <v>23</v>
      </c>
      <c r="Q629" s="304">
        <f t="shared" ca="1" si="280"/>
        <v>0</v>
      </c>
      <c r="R629" s="306">
        <f t="shared" ca="1" si="281"/>
        <v>0</v>
      </c>
      <c r="S629" s="307">
        <f t="shared" ca="1" si="282"/>
        <v>7.9769999999999968</v>
      </c>
      <c r="T629" s="304">
        <f t="shared" ca="1" si="262"/>
        <v>78.254369999999966</v>
      </c>
      <c r="U629" s="311">
        <f t="shared" ca="1" si="263"/>
        <v>0</v>
      </c>
      <c r="V629" s="306">
        <f t="shared" ca="1" si="264"/>
        <v>1.2254523267111181</v>
      </c>
      <c r="W629" s="304">
        <f t="shared" ca="1" si="265"/>
        <v>59.179839392402016</v>
      </c>
      <c r="Y629" s="314" t="str">
        <f t="shared" ca="1" si="283"/>
        <v/>
      </c>
      <c r="Z629" s="315" t="str">
        <f t="shared" ca="1" si="284"/>
        <v/>
      </c>
      <c r="AA629" s="316" t="str">
        <f t="shared" ca="1" si="285"/>
        <v/>
      </c>
      <c r="AC629" s="310" t="e">
        <f t="shared" ca="1" si="286"/>
        <v>#N/A</v>
      </c>
      <c r="AD629" s="323" t="e">
        <f t="shared" ca="1" si="287"/>
        <v>#N/A</v>
      </c>
      <c r="AE629" s="324" t="e">
        <f t="shared" ca="1" si="266"/>
        <v>#N/A</v>
      </c>
      <c r="AG629" s="306">
        <f t="shared" ca="1" si="288"/>
        <v>2.34370648344819</v>
      </c>
      <c r="AH629" s="304">
        <f t="shared" ca="1" si="289"/>
        <v>-7.4187713127282988</v>
      </c>
    </row>
    <row r="630" spans="1:34" x14ac:dyDescent="0.2">
      <c r="A630" s="347">
        <f t="shared" ca="1" si="267"/>
        <v>1E-4</v>
      </c>
      <c r="B630" s="304">
        <f t="shared" ca="1" si="268"/>
        <v>33.611000000000573</v>
      </c>
      <c r="D630" s="306">
        <f t="shared" ca="1" si="269"/>
        <v>-0.72934476004981674</v>
      </c>
      <c r="E630" s="307">
        <f t="shared" ca="1" si="270"/>
        <v>-2.4271290680144872</v>
      </c>
      <c r="F630" s="304">
        <f t="shared" ca="1" si="271"/>
        <v>2.5343439568876596</v>
      </c>
      <c r="G630" s="306">
        <f t="shared" ca="1" si="272"/>
        <v>11.886879951920081</v>
      </c>
      <c r="H630" s="307">
        <f t="shared" ca="1" si="273"/>
        <v>-120.3272043117818</v>
      </c>
      <c r="I630" s="304">
        <f t="shared" ca="1" si="274"/>
        <v>120.91291912976313</v>
      </c>
      <c r="J630" s="306">
        <f t="shared" ca="1" si="275"/>
        <v>755.70453742140728</v>
      </c>
      <c r="K630" s="307">
        <f t="shared" ca="1" si="276"/>
        <v>-3.7038140679054394</v>
      </c>
      <c r="L630" s="304">
        <f t="shared" ca="1" si="261"/>
        <v>755.71361382335363</v>
      </c>
      <c r="M630" s="306">
        <f t="shared" ca="1" si="277"/>
        <v>-1.4723278499059986</v>
      </c>
      <c r="N630" s="304">
        <f t="shared" ca="1" si="278"/>
        <v>-84.358171859184665</v>
      </c>
      <c r="P630" s="310">
        <f t="shared" ca="1" si="279"/>
        <v>23</v>
      </c>
      <c r="Q630" s="304">
        <f t="shared" ca="1" si="280"/>
        <v>0</v>
      </c>
      <c r="R630" s="306">
        <f t="shared" ca="1" si="281"/>
        <v>0</v>
      </c>
      <c r="S630" s="307">
        <f t="shared" ca="1" si="282"/>
        <v>7.9769999999999968</v>
      </c>
      <c r="T630" s="304">
        <f t="shared" ca="1" si="262"/>
        <v>78.254369999999966</v>
      </c>
      <c r="U630" s="311">
        <f t="shared" ca="1" si="263"/>
        <v>0</v>
      </c>
      <c r="V630" s="306">
        <f t="shared" ca="1" si="264"/>
        <v>1.2254538012630938</v>
      </c>
      <c r="W630" s="304">
        <f t="shared" ca="1" si="265"/>
        <v>59.180140020782737</v>
      </c>
      <c r="Y630" s="314" t="str">
        <f t="shared" ca="1" si="283"/>
        <v/>
      </c>
      <c r="Z630" s="315" t="str">
        <f t="shared" ca="1" si="284"/>
        <v/>
      </c>
      <c r="AA630" s="316" t="str">
        <f t="shared" ca="1" si="285"/>
        <v/>
      </c>
      <c r="AC630" s="310" t="e">
        <f t="shared" ca="1" si="286"/>
        <v>#N/A</v>
      </c>
      <c r="AD630" s="323" t="e">
        <f t="shared" ca="1" si="287"/>
        <v>#N/A</v>
      </c>
      <c r="AE630" s="324" t="e">
        <f t="shared" ca="1" si="266"/>
        <v>#N/A</v>
      </c>
      <c r="AG630" s="306">
        <f t="shared" ca="1" si="288"/>
        <v>2.3436695655036832</v>
      </c>
      <c r="AH630" s="304">
        <f t="shared" ca="1" si="289"/>
        <v>-7.4188089999250391</v>
      </c>
    </row>
    <row r="631" spans="1:34" x14ac:dyDescent="0.2">
      <c r="A631" s="347">
        <f t="shared" ca="1" si="267"/>
        <v>1E-4</v>
      </c>
      <c r="B631" s="304">
        <f t="shared" ca="1" si="268"/>
        <v>33.611100000000576</v>
      </c>
      <c r="D631" s="306">
        <f t="shared" ca="1" si="269"/>
        <v>-0.72934257631574362</v>
      </c>
      <c r="E631" s="307">
        <f t="shared" ca="1" si="270"/>
        <v>-2.4270909819401343</v>
      </c>
      <c r="F631" s="304">
        <f t="shared" ca="1" si="271"/>
        <v>2.5343068536075131</v>
      </c>
      <c r="G631" s="306">
        <f t="shared" ca="1" si="272"/>
        <v>11.886807017662449</v>
      </c>
      <c r="H631" s="307">
        <f t="shared" ca="1" si="273"/>
        <v>-120.32744702087999</v>
      </c>
      <c r="I631" s="304">
        <f t="shared" ca="1" si="274"/>
        <v>120.91315349306637</v>
      </c>
      <c r="J631" s="306">
        <f t="shared" ca="1" si="275"/>
        <v>755.70453742140728</v>
      </c>
      <c r="K631" s="307">
        <f t="shared" ca="1" si="276"/>
        <v>-3.7158468004720726</v>
      </c>
      <c r="L631" s="304">
        <f t="shared" ca="1" si="261"/>
        <v>755.71367289254977</v>
      </c>
      <c r="M631" s="306">
        <f t="shared" ca="1" si="277"/>
        <v>-1.4723286475160713</v>
      </c>
      <c r="N631" s="304">
        <f t="shared" ca="1" si="278"/>
        <v>-84.358217558875523</v>
      </c>
      <c r="P631" s="310">
        <f t="shared" ca="1" si="279"/>
        <v>23</v>
      </c>
      <c r="Q631" s="304">
        <f t="shared" ca="1" si="280"/>
        <v>0</v>
      </c>
      <c r="R631" s="306">
        <f t="shared" ca="1" si="281"/>
        <v>0</v>
      </c>
      <c r="S631" s="307">
        <f t="shared" ca="1" si="282"/>
        <v>7.9769999999999968</v>
      </c>
      <c r="T631" s="304">
        <f t="shared" ca="1" si="262"/>
        <v>78.254369999999966</v>
      </c>
      <c r="U631" s="311">
        <f t="shared" ca="1" si="263"/>
        <v>0</v>
      </c>
      <c r="V631" s="306">
        <f t="shared" ca="1" si="264"/>
        <v>1.2254552758198176</v>
      </c>
      <c r="W631" s="304">
        <f t="shared" ca="1" si="265"/>
        <v>59.180440646775729</v>
      </c>
      <c r="Y631" s="314" t="str">
        <f t="shared" ca="1" si="283"/>
        <v/>
      </c>
      <c r="Z631" s="315" t="str">
        <f t="shared" ca="1" si="284"/>
        <v/>
      </c>
      <c r="AA631" s="316" t="str">
        <f t="shared" ca="1" si="285"/>
        <v/>
      </c>
      <c r="AC631" s="310" t="e">
        <f t="shared" ca="1" si="286"/>
        <v>#N/A</v>
      </c>
      <c r="AD631" s="323" t="e">
        <f t="shared" ca="1" si="287"/>
        <v>#N/A</v>
      </c>
      <c r="AE631" s="324" t="e">
        <f t="shared" ca="1" si="266"/>
        <v>#N/A</v>
      </c>
      <c r="AG631" s="306">
        <f t="shared" ca="1" si="288"/>
        <v>2.3436326478445784</v>
      </c>
      <c r="AH631" s="304">
        <f t="shared" ca="1" si="289"/>
        <v>-7.4188466868224596</v>
      </c>
    </row>
    <row r="632" spans="1:34" x14ac:dyDescent="0.2">
      <c r="A632" s="347">
        <f t="shared" ca="1" si="267"/>
        <v>1E-4</v>
      </c>
      <c r="B632" s="304">
        <f t="shared" ca="1" si="268"/>
        <v>33.611200000000579</v>
      </c>
      <c r="D632" s="306">
        <f t="shared" ca="1" si="269"/>
        <v>-0.72934039255091221</v>
      </c>
      <c r="E632" s="307">
        <f t="shared" ca="1" si="270"/>
        <v>-2.4270528961682682</v>
      </c>
      <c r="F632" s="304">
        <f t="shared" ca="1" si="271"/>
        <v>2.5342697506392442</v>
      </c>
      <c r="G632" s="306">
        <f t="shared" ca="1" si="272"/>
        <v>11.886734083623194</v>
      </c>
      <c r="H632" s="307">
        <f t="shared" ca="1" si="273"/>
        <v>-120.32768972616961</v>
      </c>
      <c r="I632" s="304">
        <f t="shared" ca="1" si="274"/>
        <v>120.91338785267789</v>
      </c>
      <c r="J632" s="306">
        <f t="shared" ca="1" si="275"/>
        <v>755.70453742140728</v>
      </c>
      <c r="K632" s="307">
        <f t="shared" ca="1" si="276"/>
        <v>-3.727879557309425</v>
      </c>
      <c r="L632" s="304">
        <f t="shared" ca="1" si="261"/>
        <v>755.71373215345034</v>
      </c>
      <c r="M632" s="306">
        <f t="shared" ca="1" si="277"/>
        <v>-1.4723294451181581</v>
      </c>
      <c r="N632" s="304">
        <f t="shared" ca="1" si="278"/>
        <v>-84.358263258108821</v>
      </c>
      <c r="P632" s="310">
        <f t="shared" ca="1" si="279"/>
        <v>23</v>
      </c>
      <c r="Q632" s="304">
        <f t="shared" ca="1" si="280"/>
        <v>0</v>
      </c>
      <c r="R632" s="306">
        <f t="shared" ca="1" si="281"/>
        <v>0</v>
      </c>
      <c r="S632" s="307">
        <f t="shared" ca="1" si="282"/>
        <v>7.9769999999999968</v>
      </c>
      <c r="T632" s="304">
        <f t="shared" ca="1" si="262"/>
        <v>78.254369999999966</v>
      </c>
      <c r="U632" s="311">
        <f t="shared" ca="1" si="263"/>
        <v>0</v>
      </c>
      <c r="V632" s="306">
        <f t="shared" ca="1" si="264"/>
        <v>1.225456750381291</v>
      </c>
      <c r="W632" s="304">
        <f t="shared" ca="1" si="265"/>
        <v>59.180741270381034</v>
      </c>
      <c r="Y632" s="314" t="str">
        <f t="shared" ca="1" si="283"/>
        <v/>
      </c>
      <c r="Z632" s="315" t="str">
        <f t="shared" ca="1" si="284"/>
        <v/>
      </c>
      <c r="AA632" s="316" t="str">
        <f t="shared" ca="1" si="285"/>
        <v/>
      </c>
      <c r="AC632" s="310" t="e">
        <f t="shared" ca="1" si="286"/>
        <v>#N/A</v>
      </c>
      <c r="AD632" s="323" t="e">
        <f t="shared" ca="1" si="287"/>
        <v>#N/A</v>
      </c>
      <c r="AE632" s="324" t="e">
        <f t="shared" ca="1" si="266"/>
        <v>#N/A</v>
      </c>
      <c r="AG632" s="306">
        <f t="shared" ca="1" si="288"/>
        <v>2.3435957304708896</v>
      </c>
      <c r="AH632" s="304">
        <f t="shared" ca="1" si="289"/>
        <v>-7.4188843734205534</v>
      </c>
    </row>
    <row r="633" spans="1:34" x14ac:dyDescent="0.2">
      <c r="A633" s="347">
        <f t="shared" ca="1" si="267"/>
        <v>1E-4</v>
      </c>
      <c r="B633" s="304">
        <f t="shared" ca="1" si="268"/>
        <v>33.611300000000583</v>
      </c>
      <c r="D633" s="306">
        <f t="shared" ca="1" si="269"/>
        <v>-0.7293382087553234</v>
      </c>
      <c r="E633" s="307">
        <f t="shared" ca="1" si="270"/>
        <v>-2.4270148106988856</v>
      </c>
      <c r="F633" s="304">
        <f t="shared" ca="1" si="271"/>
        <v>2.5342326479828508</v>
      </c>
      <c r="G633" s="306">
        <f t="shared" ca="1" si="272"/>
        <v>11.886661149802318</v>
      </c>
      <c r="H633" s="307">
        <f t="shared" ca="1" si="273"/>
        <v>-120.32793242765068</v>
      </c>
      <c r="I633" s="304">
        <f t="shared" ca="1" si="274"/>
        <v>120.91362220859769</v>
      </c>
      <c r="J633" s="306">
        <f t="shared" ca="1" si="275"/>
        <v>755.70453742140728</v>
      </c>
      <c r="K633" s="307">
        <f t="shared" ca="1" si="276"/>
        <v>-3.739912338417116</v>
      </c>
      <c r="L633" s="304">
        <f t="shared" ca="1" si="261"/>
        <v>755.71379160605647</v>
      </c>
      <c r="M633" s="306">
        <f t="shared" ca="1" si="277"/>
        <v>-1.4723302427122593</v>
      </c>
      <c r="N633" s="304">
        <f t="shared" ca="1" si="278"/>
        <v>-84.358308956884585</v>
      </c>
      <c r="P633" s="310">
        <f t="shared" ca="1" si="279"/>
        <v>23</v>
      </c>
      <c r="Q633" s="304">
        <f t="shared" ca="1" si="280"/>
        <v>0</v>
      </c>
      <c r="R633" s="306">
        <f t="shared" ca="1" si="281"/>
        <v>0</v>
      </c>
      <c r="S633" s="307">
        <f t="shared" ca="1" si="282"/>
        <v>7.9769999999999968</v>
      </c>
      <c r="T633" s="304">
        <f t="shared" ca="1" si="262"/>
        <v>78.254369999999966</v>
      </c>
      <c r="U633" s="311">
        <f t="shared" ca="1" si="263"/>
        <v>0</v>
      </c>
      <c r="V633" s="306">
        <f t="shared" ca="1" si="264"/>
        <v>1.225458224947513</v>
      </c>
      <c r="W633" s="304">
        <f t="shared" ca="1" si="265"/>
        <v>59.181041891598625</v>
      </c>
      <c r="Y633" s="314" t="str">
        <f t="shared" ca="1" si="283"/>
        <v/>
      </c>
      <c r="Z633" s="315" t="str">
        <f t="shared" ca="1" si="284"/>
        <v/>
      </c>
      <c r="AA633" s="316" t="str">
        <f t="shared" ca="1" si="285"/>
        <v/>
      </c>
      <c r="AC633" s="310" t="e">
        <f t="shared" ca="1" si="286"/>
        <v>#N/A</v>
      </c>
      <c r="AD633" s="323" t="e">
        <f t="shared" ca="1" si="287"/>
        <v>#N/A</v>
      </c>
      <c r="AE633" s="324" t="e">
        <f t="shared" ca="1" si="266"/>
        <v>#N/A</v>
      </c>
      <c r="AG633" s="306">
        <f t="shared" ca="1" si="288"/>
        <v>2.34355881338261</v>
      </c>
      <c r="AH633" s="304">
        <f t="shared" ca="1" si="289"/>
        <v>-7.4189220597193257</v>
      </c>
    </row>
    <row r="634" spans="1:34" x14ac:dyDescent="0.2">
      <c r="A634" s="347">
        <f t="shared" ca="1" si="267"/>
        <v>1E-4</v>
      </c>
      <c r="B634" s="304">
        <f t="shared" ca="1" si="268"/>
        <v>33.611400000000586</v>
      </c>
      <c r="D634" s="306">
        <f t="shared" ca="1" si="269"/>
        <v>-0.72933602492897665</v>
      </c>
      <c r="E634" s="307">
        <f t="shared" ca="1" si="270"/>
        <v>-2.4269767255319898</v>
      </c>
      <c r="F634" s="304">
        <f t="shared" ca="1" si="271"/>
        <v>2.5341955456383354</v>
      </c>
      <c r="G634" s="306">
        <f t="shared" ca="1" si="272"/>
        <v>11.886588216199826</v>
      </c>
      <c r="H634" s="307">
        <f t="shared" ca="1" si="273"/>
        <v>-120.32817512532323</v>
      </c>
      <c r="I634" s="304">
        <f t="shared" ca="1" si="274"/>
        <v>120.91385656082581</v>
      </c>
      <c r="J634" s="306">
        <f t="shared" ca="1" si="275"/>
        <v>755.70453742140728</v>
      </c>
      <c r="K634" s="307">
        <f t="shared" ca="1" si="276"/>
        <v>-3.7519451437947646</v>
      </c>
      <c r="L634" s="304">
        <f t="shared" ca="1" si="261"/>
        <v>755.71385125036932</v>
      </c>
      <c r="M634" s="306">
        <f t="shared" ca="1" si="277"/>
        <v>-1.4723310402983749</v>
      </c>
      <c r="N634" s="304">
        <f t="shared" ca="1" si="278"/>
        <v>-84.358354655202817</v>
      </c>
      <c r="P634" s="310">
        <f t="shared" ca="1" si="279"/>
        <v>23</v>
      </c>
      <c r="Q634" s="304">
        <f t="shared" ca="1" si="280"/>
        <v>0</v>
      </c>
      <c r="R634" s="306">
        <f t="shared" ca="1" si="281"/>
        <v>0</v>
      </c>
      <c r="S634" s="307">
        <f t="shared" ca="1" si="282"/>
        <v>7.9769999999999968</v>
      </c>
      <c r="T634" s="304">
        <f t="shared" ca="1" si="262"/>
        <v>78.254369999999966</v>
      </c>
      <c r="U634" s="311">
        <f t="shared" ca="1" si="263"/>
        <v>0</v>
      </c>
      <c r="V634" s="306">
        <f t="shared" ca="1" si="264"/>
        <v>1.2254596995184837</v>
      </c>
      <c r="W634" s="304">
        <f t="shared" ca="1" si="265"/>
        <v>59.181342510428465</v>
      </c>
      <c r="Y634" s="314" t="str">
        <f t="shared" ca="1" si="283"/>
        <v/>
      </c>
      <c r="Z634" s="315" t="str">
        <f t="shared" ca="1" si="284"/>
        <v/>
      </c>
      <c r="AA634" s="316" t="str">
        <f t="shared" ca="1" si="285"/>
        <v/>
      </c>
      <c r="AC634" s="310" t="e">
        <f t="shared" ca="1" si="286"/>
        <v>#N/A</v>
      </c>
      <c r="AD634" s="323" t="e">
        <f t="shared" ca="1" si="287"/>
        <v>#N/A</v>
      </c>
      <c r="AE634" s="324" t="e">
        <f t="shared" ca="1" si="266"/>
        <v>#N/A</v>
      </c>
      <c r="AG634" s="306">
        <f t="shared" ca="1" si="288"/>
        <v>2.3435218965797437</v>
      </c>
      <c r="AH634" s="304">
        <f t="shared" ca="1" si="289"/>
        <v>-7.4189597457187721</v>
      </c>
    </row>
    <row r="635" spans="1:34" x14ac:dyDescent="0.2">
      <c r="A635" s="347">
        <f t="shared" ca="1" si="267"/>
        <v>1E-4</v>
      </c>
      <c r="B635" s="304">
        <f t="shared" ca="1" si="268"/>
        <v>33.611500000000589</v>
      </c>
      <c r="D635" s="306">
        <f t="shared" ca="1" si="269"/>
        <v>-0.72933384107187316</v>
      </c>
      <c r="E635" s="307">
        <f t="shared" ca="1" si="270"/>
        <v>-2.4269386406675837</v>
      </c>
      <c r="F635" s="304">
        <f t="shared" ca="1" si="271"/>
        <v>2.5341584436057012</v>
      </c>
      <c r="G635" s="306">
        <f t="shared" ca="1" si="272"/>
        <v>11.886515282815719</v>
      </c>
      <c r="H635" s="307">
        <f t="shared" ca="1" si="273"/>
        <v>-120.32841781918729</v>
      </c>
      <c r="I635" s="304">
        <f t="shared" ca="1" si="274"/>
        <v>120.91409090936227</v>
      </c>
      <c r="J635" s="306">
        <f t="shared" ca="1" si="275"/>
        <v>755.70453742140728</v>
      </c>
      <c r="K635" s="307">
        <f t="shared" ca="1" si="276"/>
        <v>-3.7639779734419903</v>
      </c>
      <c r="L635" s="304">
        <f t="shared" ca="1" si="261"/>
        <v>755.71391108638977</v>
      </c>
      <c r="M635" s="306">
        <f t="shared" ca="1" si="277"/>
        <v>-1.4723318378765051</v>
      </c>
      <c r="N635" s="304">
        <f t="shared" ca="1" si="278"/>
        <v>-84.358400353063502</v>
      </c>
      <c r="P635" s="310">
        <f t="shared" ca="1" si="279"/>
        <v>23</v>
      </c>
      <c r="Q635" s="304">
        <f t="shared" ca="1" si="280"/>
        <v>0</v>
      </c>
      <c r="R635" s="306">
        <f t="shared" ca="1" si="281"/>
        <v>0</v>
      </c>
      <c r="S635" s="307">
        <f t="shared" ca="1" si="282"/>
        <v>7.9769999999999968</v>
      </c>
      <c r="T635" s="304">
        <f t="shared" ca="1" si="262"/>
        <v>78.254369999999966</v>
      </c>
      <c r="U635" s="311">
        <f t="shared" ca="1" si="263"/>
        <v>0</v>
      </c>
      <c r="V635" s="306">
        <f t="shared" ca="1" si="264"/>
        <v>1.2254611740942034</v>
      </c>
      <c r="W635" s="304">
        <f t="shared" ca="1" si="265"/>
        <v>59.181643126870604</v>
      </c>
      <c r="Y635" s="314" t="str">
        <f t="shared" ca="1" si="283"/>
        <v/>
      </c>
      <c r="Z635" s="315" t="str">
        <f t="shared" ca="1" si="284"/>
        <v/>
      </c>
      <c r="AA635" s="316" t="str">
        <f t="shared" ca="1" si="285"/>
        <v/>
      </c>
      <c r="AC635" s="310" t="e">
        <f t="shared" ca="1" si="286"/>
        <v>#N/A</v>
      </c>
      <c r="AD635" s="323" t="e">
        <f t="shared" ca="1" si="287"/>
        <v>#N/A</v>
      </c>
      <c r="AE635" s="324" t="e">
        <f t="shared" ca="1" si="266"/>
        <v>#N/A</v>
      </c>
      <c r="AG635" s="306">
        <f t="shared" ca="1" si="288"/>
        <v>2.3434849800622954</v>
      </c>
      <c r="AH635" s="304">
        <f t="shared" ca="1" si="289"/>
        <v>-7.41899743141889</v>
      </c>
    </row>
    <row r="636" spans="1:34" x14ac:dyDescent="0.2">
      <c r="A636" s="347">
        <f t="shared" ca="1" si="267"/>
        <v>1E-4</v>
      </c>
      <c r="B636" s="304">
        <f t="shared" ca="1" si="268"/>
        <v>33.611600000000593</v>
      </c>
      <c r="D636" s="306">
        <f t="shared" ca="1" si="269"/>
        <v>-0.72933165718401349</v>
      </c>
      <c r="E636" s="307">
        <f t="shared" ca="1" si="270"/>
        <v>-2.4269005561056609</v>
      </c>
      <c r="F636" s="304">
        <f t="shared" ca="1" si="271"/>
        <v>2.5341213418849433</v>
      </c>
      <c r="G636" s="306">
        <f t="shared" ca="1" si="272"/>
        <v>11.88644234965</v>
      </c>
      <c r="H636" s="307">
        <f t="shared" ca="1" si="273"/>
        <v>-120.32866050924291</v>
      </c>
      <c r="I636" s="304">
        <f t="shared" ca="1" si="274"/>
        <v>120.9143252542071</v>
      </c>
      <c r="J636" s="306">
        <f t="shared" ca="1" si="275"/>
        <v>755.70453742140728</v>
      </c>
      <c r="K636" s="307">
        <f t="shared" ca="1" si="276"/>
        <v>-3.7760108273584119</v>
      </c>
      <c r="L636" s="304">
        <f t="shared" ca="1" si="261"/>
        <v>755.71397111411898</v>
      </c>
      <c r="M636" s="306">
        <f t="shared" ca="1" si="277"/>
        <v>-1.4723326354466499</v>
      </c>
      <c r="N636" s="304">
        <f t="shared" ca="1" si="278"/>
        <v>-84.358446050466668</v>
      </c>
      <c r="P636" s="310">
        <f t="shared" ca="1" si="279"/>
        <v>23</v>
      </c>
      <c r="Q636" s="304">
        <f t="shared" ca="1" si="280"/>
        <v>0</v>
      </c>
      <c r="R636" s="306">
        <f t="shared" ca="1" si="281"/>
        <v>0</v>
      </c>
      <c r="S636" s="307">
        <f t="shared" ca="1" si="282"/>
        <v>7.9769999999999968</v>
      </c>
      <c r="T636" s="304">
        <f t="shared" ca="1" si="262"/>
        <v>78.254369999999966</v>
      </c>
      <c r="U636" s="311">
        <f t="shared" ca="1" si="263"/>
        <v>0</v>
      </c>
      <c r="V636" s="306">
        <f t="shared" ca="1" si="264"/>
        <v>1.2254626486746716</v>
      </c>
      <c r="W636" s="304">
        <f t="shared" ca="1" si="265"/>
        <v>59.181943740924986</v>
      </c>
      <c r="Y636" s="314" t="str">
        <f t="shared" ca="1" si="283"/>
        <v/>
      </c>
      <c r="Z636" s="315" t="str">
        <f t="shared" ca="1" si="284"/>
        <v/>
      </c>
      <c r="AA636" s="316" t="str">
        <f t="shared" ca="1" si="285"/>
        <v/>
      </c>
      <c r="AC636" s="310" t="e">
        <f t="shared" ca="1" si="286"/>
        <v>#N/A</v>
      </c>
      <c r="AD636" s="323" t="e">
        <f t="shared" ca="1" si="287"/>
        <v>#N/A</v>
      </c>
      <c r="AE636" s="324" t="e">
        <f t="shared" ca="1" si="266"/>
        <v>#N/A</v>
      </c>
      <c r="AG636" s="306">
        <f t="shared" ca="1" si="288"/>
        <v>2.3434480638302571</v>
      </c>
      <c r="AH636" s="304">
        <f t="shared" ca="1" si="289"/>
        <v>-7.4190351168196855</v>
      </c>
    </row>
    <row r="637" spans="1:34" x14ac:dyDescent="0.2">
      <c r="A637" s="347">
        <f t="shared" ca="1" si="267"/>
        <v>1E-4</v>
      </c>
      <c r="B637" s="304">
        <f t="shared" ca="1" si="268"/>
        <v>33.611700000000596</v>
      </c>
      <c r="D637" s="306">
        <f t="shared" ca="1" si="269"/>
        <v>-0.72932947326539865</v>
      </c>
      <c r="E637" s="307">
        <f t="shared" ca="1" si="270"/>
        <v>-2.4268624718462313</v>
      </c>
      <c r="F637" s="304">
        <f t="shared" ca="1" si="271"/>
        <v>2.5340842404760706</v>
      </c>
      <c r="G637" s="306">
        <f t="shared" ca="1" si="272"/>
        <v>11.886369416702674</v>
      </c>
      <c r="H637" s="307">
        <f t="shared" ca="1" si="273"/>
        <v>-120.3289031954901</v>
      </c>
      <c r="I637" s="304">
        <f t="shared" ca="1" si="274"/>
        <v>120.91455959536036</v>
      </c>
      <c r="J637" s="306">
        <f t="shared" ca="1" si="275"/>
        <v>755.70453742140728</v>
      </c>
      <c r="K637" s="307">
        <f t="shared" ca="1" si="276"/>
        <v>-3.7880437055436484</v>
      </c>
      <c r="L637" s="304">
        <f t="shared" ca="1" si="261"/>
        <v>755.71403133355818</v>
      </c>
      <c r="M637" s="306">
        <f t="shared" ca="1" si="277"/>
        <v>-1.4723334330088094</v>
      </c>
      <c r="N637" s="304">
        <f t="shared" ca="1" si="278"/>
        <v>-84.358491747412302</v>
      </c>
      <c r="P637" s="310">
        <f t="shared" ca="1" si="279"/>
        <v>23</v>
      </c>
      <c r="Q637" s="304">
        <f t="shared" ca="1" si="280"/>
        <v>0</v>
      </c>
      <c r="R637" s="306">
        <f t="shared" ca="1" si="281"/>
        <v>0</v>
      </c>
      <c r="S637" s="307">
        <f t="shared" ca="1" si="282"/>
        <v>7.9769999999999968</v>
      </c>
      <c r="T637" s="304">
        <f t="shared" ca="1" si="262"/>
        <v>78.254369999999966</v>
      </c>
      <c r="U637" s="311">
        <f t="shared" ca="1" si="263"/>
        <v>0</v>
      </c>
      <c r="V637" s="306">
        <f t="shared" ca="1" si="264"/>
        <v>1.2254641232598888</v>
      </c>
      <c r="W637" s="304">
        <f t="shared" ca="1" si="265"/>
        <v>59.182244352591695</v>
      </c>
      <c r="Y637" s="314" t="str">
        <f t="shared" ca="1" si="283"/>
        <v/>
      </c>
      <c r="Z637" s="315" t="str">
        <f t="shared" ca="1" si="284"/>
        <v/>
      </c>
      <c r="AA637" s="316" t="str">
        <f t="shared" ca="1" si="285"/>
        <v/>
      </c>
      <c r="AC637" s="310" t="e">
        <f t="shared" ca="1" si="286"/>
        <v>#N/A</v>
      </c>
      <c r="AD637" s="323" t="e">
        <f t="shared" ca="1" si="287"/>
        <v>#N/A</v>
      </c>
      <c r="AE637" s="324" t="e">
        <f t="shared" ca="1" si="266"/>
        <v>#N/A</v>
      </c>
      <c r="AG637" s="306">
        <f t="shared" ca="1" si="288"/>
        <v>2.343411147883641</v>
      </c>
      <c r="AH637" s="304">
        <f t="shared" ca="1" si="289"/>
        <v>-7.4190728019211498</v>
      </c>
    </row>
    <row r="638" spans="1:34" x14ac:dyDescent="0.2">
      <c r="A638" s="347">
        <f t="shared" ca="1" si="267"/>
        <v>1E-4</v>
      </c>
      <c r="B638" s="304">
        <f t="shared" ca="1" si="268"/>
        <v>33.611800000000599</v>
      </c>
      <c r="D638" s="306">
        <f t="shared" ca="1" si="269"/>
        <v>-0.7293272893160313</v>
      </c>
      <c r="E638" s="307">
        <f t="shared" ca="1" si="270"/>
        <v>-2.4268243878892815</v>
      </c>
      <c r="F638" s="304">
        <f t="shared" ca="1" si="271"/>
        <v>2.5340471393790716</v>
      </c>
      <c r="G638" s="306">
        <f t="shared" ca="1" si="272"/>
        <v>11.886296483973743</v>
      </c>
      <c r="H638" s="307">
        <f t="shared" ca="1" si="273"/>
        <v>-120.32914587792889</v>
      </c>
      <c r="I638" s="304">
        <f t="shared" ca="1" si="274"/>
        <v>120.91479393282205</v>
      </c>
      <c r="J638" s="306">
        <f t="shared" ca="1" si="275"/>
        <v>755.70453742140728</v>
      </c>
      <c r="K638" s="307">
        <f t="shared" ca="1" si="276"/>
        <v>-3.8000766079973194</v>
      </c>
      <c r="L638" s="304">
        <f t="shared" ca="1" si="261"/>
        <v>755.71409174470853</v>
      </c>
      <c r="M638" s="306">
        <f t="shared" ca="1" si="277"/>
        <v>-1.4723342305629838</v>
      </c>
      <c r="N638" s="304">
        <f t="shared" ca="1" si="278"/>
        <v>-84.358537443900431</v>
      </c>
      <c r="P638" s="310">
        <f t="shared" ca="1" si="279"/>
        <v>23</v>
      </c>
      <c r="Q638" s="304">
        <f t="shared" ca="1" si="280"/>
        <v>0</v>
      </c>
      <c r="R638" s="306">
        <f t="shared" ca="1" si="281"/>
        <v>0</v>
      </c>
      <c r="S638" s="307">
        <f t="shared" ca="1" si="282"/>
        <v>7.9769999999999968</v>
      </c>
      <c r="T638" s="304">
        <f t="shared" ca="1" si="262"/>
        <v>78.254369999999966</v>
      </c>
      <c r="U638" s="311">
        <f t="shared" ca="1" si="263"/>
        <v>0</v>
      </c>
      <c r="V638" s="306">
        <f t="shared" ca="1" si="264"/>
        <v>1.2254655978498545</v>
      </c>
      <c r="W638" s="304">
        <f t="shared" ca="1" si="265"/>
        <v>59.18254496187064</v>
      </c>
      <c r="Y638" s="314" t="str">
        <f t="shared" ca="1" si="283"/>
        <v/>
      </c>
      <c r="Z638" s="315" t="str">
        <f t="shared" ca="1" si="284"/>
        <v/>
      </c>
      <c r="AA638" s="316" t="str">
        <f t="shared" ca="1" si="285"/>
        <v/>
      </c>
      <c r="AC638" s="310" t="e">
        <f t="shared" ca="1" si="286"/>
        <v>#N/A</v>
      </c>
      <c r="AD638" s="323" t="e">
        <f t="shared" ca="1" si="287"/>
        <v>#N/A</v>
      </c>
      <c r="AE638" s="324" t="e">
        <f t="shared" ca="1" si="266"/>
        <v>#N/A</v>
      </c>
      <c r="AG638" s="306">
        <f t="shared" ca="1" si="288"/>
        <v>2.3433742322224322</v>
      </c>
      <c r="AH638" s="304">
        <f t="shared" ca="1" si="289"/>
        <v>-7.4191104867232944</v>
      </c>
    </row>
    <row r="639" spans="1:34" x14ac:dyDescent="0.2">
      <c r="A639" s="347">
        <f t="shared" ca="1" si="267"/>
        <v>1E-4</v>
      </c>
      <c r="B639" s="304">
        <f t="shared" ca="1" si="268"/>
        <v>33.611900000000603</v>
      </c>
      <c r="D639" s="306">
        <f t="shared" ca="1" si="269"/>
        <v>-0.72932510533590855</v>
      </c>
      <c r="E639" s="307">
        <f t="shared" ca="1" si="270"/>
        <v>-2.4267863042348248</v>
      </c>
      <c r="F639" s="304">
        <f t="shared" ca="1" si="271"/>
        <v>2.5340100385939586</v>
      </c>
      <c r="G639" s="306">
        <f t="shared" ca="1" si="272"/>
        <v>11.886223551463209</v>
      </c>
      <c r="H639" s="307">
        <f t="shared" ca="1" si="273"/>
        <v>-120.32938855655932</v>
      </c>
      <c r="I639" s="304">
        <f t="shared" ca="1" si="274"/>
        <v>120.91502826659219</v>
      </c>
      <c r="J639" s="306">
        <f t="shared" ca="1" si="275"/>
        <v>755.70453742140728</v>
      </c>
      <c r="K639" s="307">
        <f t="shared" ca="1" si="276"/>
        <v>-3.8121095347190437</v>
      </c>
      <c r="L639" s="304">
        <f t="shared" ca="1" si="261"/>
        <v>755.71415234757114</v>
      </c>
      <c r="M639" s="306">
        <f t="shared" ca="1" si="277"/>
        <v>-1.4723350281091734</v>
      </c>
      <c r="N639" s="304">
        <f t="shared" ca="1" si="278"/>
        <v>-84.358583139931056</v>
      </c>
      <c r="P639" s="310">
        <f t="shared" ca="1" si="279"/>
        <v>23</v>
      </c>
      <c r="Q639" s="304">
        <f t="shared" ca="1" si="280"/>
        <v>0</v>
      </c>
      <c r="R639" s="306">
        <f t="shared" ca="1" si="281"/>
        <v>0</v>
      </c>
      <c r="S639" s="307">
        <f t="shared" ca="1" si="282"/>
        <v>7.9769999999999968</v>
      </c>
      <c r="T639" s="304">
        <f t="shared" ca="1" si="262"/>
        <v>78.254369999999966</v>
      </c>
      <c r="U639" s="311">
        <f t="shared" ca="1" si="263"/>
        <v>0</v>
      </c>
      <c r="V639" s="306">
        <f t="shared" ca="1" si="264"/>
        <v>1.2254670724445691</v>
      </c>
      <c r="W639" s="304">
        <f t="shared" ca="1" si="265"/>
        <v>59.182845568761856</v>
      </c>
      <c r="Y639" s="314" t="str">
        <f t="shared" ca="1" si="283"/>
        <v/>
      </c>
      <c r="Z639" s="315" t="str">
        <f t="shared" ca="1" si="284"/>
        <v/>
      </c>
      <c r="AA639" s="316" t="str">
        <f t="shared" ca="1" si="285"/>
        <v/>
      </c>
      <c r="AC639" s="310" t="e">
        <f t="shared" ca="1" si="286"/>
        <v>#N/A</v>
      </c>
      <c r="AD639" s="323" t="e">
        <f t="shared" ca="1" si="287"/>
        <v>#N/A</v>
      </c>
      <c r="AE639" s="324" t="e">
        <f t="shared" ca="1" si="266"/>
        <v>#N/A</v>
      </c>
      <c r="AG639" s="306">
        <f t="shared" ca="1" si="288"/>
        <v>2.343337316846644</v>
      </c>
      <c r="AH639" s="304">
        <f t="shared" ca="1" si="289"/>
        <v>-7.4191481712261078</v>
      </c>
    </row>
    <row r="640" spans="1:34" x14ac:dyDescent="0.2">
      <c r="A640" s="347">
        <f t="shared" ca="1" si="267"/>
        <v>1E-4</v>
      </c>
      <c r="B640" s="304">
        <f t="shared" ca="1" si="268"/>
        <v>33.612000000000606</v>
      </c>
      <c r="D640" s="306">
        <f t="shared" ca="1" si="269"/>
        <v>-0.72932292132503262</v>
      </c>
      <c r="E640" s="307">
        <f t="shared" ca="1" si="270"/>
        <v>-2.426748220882855</v>
      </c>
      <c r="F640" s="304">
        <f t="shared" ca="1" si="271"/>
        <v>2.5339729381207254</v>
      </c>
      <c r="G640" s="306">
        <f t="shared" ca="1" si="272"/>
        <v>11.886150619171076</v>
      </c>
      <c r="H640" s="307">
        <f t="shared" ca="1" si="273"/>
        <v>-120.32963123138141</v>
      </c>
      <c r="I640" s="304">
        <f t="shared" ca="1" si="274"/>
        <v>120.91526259667083</v>
      </c>
      <c r="J640" s="306">
        <f t="shared" ca="1" si="275"/>
        <v>755.70453742140728</v>
      </c>
      <c r="K640" s="307">
        <f t="shared" ca="1" si="276"/>
        <v>-3.8241424857084407</v>
      </c>
      <c r="L640" s="304">
        <f t="shared" ca="1" si="261"/>
        <v>755.71421314214683</v>
      </c>
      <c r="M640" s="306">
        <f t="shared" ca="1" si="277"/>
        <v>-1.472335825647378</v>
      </c>
      <c r="N640" s="304">
        <f t="shared" ca="1" si="278"/>
        <v>-84.358628835504192</v>
      </c>
      <c r="P640" s="310">
        <f t="shared" ca="1" si="279"/>
        <v>23</v>
      </c>
      <c r="Q640" s="304">
        <f t="shared" ca="1" si="280"/>
        <v>0</v>
      </c>
      <c r="R640" s="306">
        <f t="shared" ca="1" si="281"/>
        <v>0</v>
      </c>
      <c r="S640" s="307">
        <f t="shared" ca="1" si="282"/>
        <v>7.9769999999999968</v>
      </c>
      <c r="T640" s="304">
        <f t="shared" ca="1" si="262"/>
        <v>78.254369999999966</v>
      </c>
      <c r="U640" s="311">
        <f t="shared" ca="1" si="263"/>
        <v>0</v>
      </c>
      <c r="V640" s="306">
        <f t="shared" ca="1" si="264"/>
        <v>1.2254685470440321</v>
      </c>
      <c r="W640" s="304">
        <f t="shared" ca="1" si="265"/>
        <v>59.183146173265335</v>
      </c>
      <c r="Y640" s="314" t="str">
        <f t="shared" ca="1" si="283"/>
        <v/>
      </c>
      <c r="Z640" s="315" t="str">
        <f t="shared" ca="1" si="284"/>
        <v/>
      </c>
      <c r="AA640" s="316" t="str">
        <f t="shared" ca="1" si="285"/>
        <v/>
      </c>
      <c r="AC640" s="310" t="e">
        <f t="shared" ca="1" si="286"/>
        <v>#N/A</v>
      </c>
      <c r="AD640" s="323" t="e">
        <f t="shared" ca="1" si="287"/>
        <v>#N/A</v>
      </c>
      <c r="AE640" s="324" t="e">
        <f t="shared" ca="1" si="266"/>
        <v>#N/A</v>
      </c>
      <c r="AG640" s="306">
        <f t="shared" ca="1" si="288"/>
        <v>2.3433004017562711</v>
      </c>
      <c r="AH640" s="304">
        <f t="shared" ca="1" si="289"/>
        <v>-7.4191858554295953</v>
      </c>
    </row>
    <row r="641" spans="1:34" x14ac:dyDescent="0.2">
      <c r="A641" s="347">
        <f t="shared" ca="1" si="267"/>
        <v>1E-4</v>
      </c>
      <c r="B641" s="304">
        <f t="shared" ca="1" si="268"/>
        <v>33.612100000000609</v>
      </c>
      <c r="D641" s="306">
        <f t="shared" ca="1" si="269"/>
        <v>-0.72932073728340496</v>
      </c>
      <c r="E641" s="307">
        <f t="shared" ca="1" si="270"/>
        <v>-2.4267101378333749</v>
      </c>
      <c r="F641" s="304">
        <f t="shared" ca="1" si="271"/>
        <v>2.5339358379593762</v>
      </c>
      <c r="G641" s="306">
        <f t="shared" ca="1" si="272"/>
        <v>11.886077687097348</v>
      </c>
      <c r="H641" s="307">
        <f t="shared" ca="1" si="273"/>
        <v>-120.32987390239519</v>
      </c>
      <c r="I641" s="304">
        <f t="shared" ca="1" si="274"/>
        <v>120.91549692305797</v>
      </c>
      <c r="J641" s="306">
        <f t="shared" ca="1" si="275"/>
        <v>755.70453742140728</v>
      </c>
      <c r="K641" s="307">
        <f t="shared" ca="1" si="276"/>
        <v>-3.8361754609651295</v>
      </c>
      <c r="L641" s="304">
        <f t="shared" ca="1" si="261"/>
        <v>755.71427412843695</v>
      </c>
      <c r="M641" s="306">
        <f t="shared" ca="1" si="277"/>
        <v>-1.4723366231775978</v>
      </c>
      <c r="N641" s="304">
        <f t="shared" ca="1" si="278"/>
        <v>-84.358674530619822</v>
      </c>
      <c r="P641" s="310">
        <f t="shared" ca="1" si="279"/>
        <v>23</v>
      </c>
      <c r="Q641" s="304">
        <f t="shared" ca="1" si="280"/>
        <v>0</v>
      </c>
      <c r="R641" s="306">
        <f t="shared" ca="1" si="281"/>
        <v>0</v>
      </c>
      <c r="S641" s="307">
        <f t="shared" ca="1" si="282"/>
        <v>7.9769999999999968</v>
      </c>
      <c r="T641" s="304">
        <f t="shared" ca="1" si="262"/>
        <v>78.254369999999966</v>
      </c>
      <c r="U641" s="311">
        <f t="shared" ca="1" si="263"/>
        <v>0</v>
      </c>
      <c r="V641" s="306">
        <f t="shared" ca="1" si="264"/>
        <v>1.2254700216482439</v>
      </c>
      <c r="W641" s="304">
        <f t="shared" ca="1" si="265"/>
        <v>59.183446775381057</v>
      </c>
      <c r="Y641" s="314" t="str">
        <f t="shared" ca="1" si="283"/>
        <v/>
      </c>
      <c r="Z641" s="315" t="str">
        <f t="shared" ca="1" si="284"/>
        <v/>
      </c>
      <c r="AA641" s="316" t="str">
        <f t="shared" ca="1" si="285"/>
        <v/>
      </c>
      <c r="AC641" s="310" t="e">
        <f t="shared" ca="1" si="286"/>
        <v>#N/A</v>
      </c>
      <c r="AD641" s="323" t="e">
        <f t="shared" ca="1" si="287"/>
        <v>#N/A</v>
      </c>
      <c r="AE641" s="324" t="e">
        <f t="shared" ca="1" si="266"/>
        <v>#N/A</v>
      </c>
      <c r="AG641" s="306">
        <f t="shared" ca="1" si="288"/>
        <v>2.3432634869513196</v>
      </c>
      <c r="AH641" s="304">
        <f t="shared" ca="1" si="289"/>
        <v>-7.4192235393337542</v>
      </c>
    </row>
    <row r="642" spans="1:34" x14ac:dyDescent="0.2">
      <c r="A642" s="347">
        <f t="shared" ca="1" si="267"/>
        <v>1E-4</v>
      </c>
      <c r="B642" s="304">
        <f t="shared" ca="1" si="268"/>
        <v>33.612200000000612</v>
      </c>
      <c r="D642" s="306">
        <f t="shared" ca="1" si="269"/>
        <v>-0.72931855321102523</v>
      </c>
      <c r="E642" s="307">
        <f t="shared" ca="1" si="270"/>
        <v>-2.4266720550863852</v>
      </c>
      <c r="F642" s="304">
        <f t="shared" ca="1" si="271"/>
        <v>2.5338987381099121</v>
      </c>
      <c r="G642" s="306">
        <f t="shared" ca="1" si="272"/>
        <v>11.886004755242027</v>
      </c>
      <c r="H642" s="307">
        <f t="shared" ca="1" si="273"/>
        <v>-120.3301165696007</v>
      </c>
      <c r="I642" s="304">
        <f t="shared" ca="1" si="274"/>
        <v>120.91573124575366</v>
      </c>
      <c r="J642" s="306">
        <f t="shared" ca="1" si="275"/>
        <v>755.70453742140728</v>
      </c>
      <c r="K642" s="307">
        <f t="shared" ca="1" si="276"/>
        <v>-3.8482084604887294</v>
      </c>
      <c r="L642" s="304">
        <f t="shared" ca="1" si="261"/>
        <v>755.71433530644276</v>
      </c>
      <c r="M642" s="306">
        <f t="shared" ca="1" si="277"/>
        <v>-1.472337420699833</v>
      </c>
      <c r="N642" s="304">
        <f t="shared" ca="1" si="278"/>
        <v>-84.358720225277963</v>
      </c>
      <c r="P642" s="310">
        <f t="shared" ca="1" si="279"/>
        <v>23</v>
      </c>
      <c r="Q642" s="304">
        <f t="shared" ca="1" si="280"/>
        <v>0</v>
      </c>
      <c r="R642" s="306">
        <f t="shared" ca="1" si="281"/>
        <v>0</v>
      </c>
      <c r="S642" s="307">
        <f t="shared" ca="1" si="282"/>
        <v>7.9769999999999968</v>
      </c>
      <c r="T642" s="304">
        <f t="shared" ca="1" si="262"/>
        <v>78.254369999999966</v>
      </c>
      <c r="U642" s="311">
        <f t="shared" ca="1" si="263"/>
        <v>0</v>
      </c>
      <c r="V642" s="306">
        <f t="shared" ca="1" si="264"/>
        <v>1.2254714962572042</v>
      </c>
      <c r="W642" s="304">
        <f t="shared" ca="1" si="265"/>
        <v>59.183747375109036</v>
      </c>
      <c r="Y642" s="314" t="str">
        <f t="shared" ca="1" si="283"/>
        <v/>
      </c>
      <c r="Z642" s="315" t="str">
        <f t="shared" ca="1" si="284"/>
        <v/>
      </c>
      <c r="AA642" s="316" t="str">
        <f t="shared" ca="1" si="285"/>
        <v/>
      </c>
      <c r="AC642" s="310" t="e">
        <f t="shared" ca="1" si="286"/>
        <v>#N/A</v>
      </c>
      <c r="AD642" s="323" t="e">
        <f t="shared" ca="1" si="287"/>
        <v>#N/A</v>
      </c>
      <c r="AE642" s="324" t="e">
        <f t="shared" ca="1" si="266"/>
        <v>#N/A</v>
      </c>
      <c r="AG642" s="306">
        <f t="shared" ca="1" si="288"/>
        <v>2.3432265724317851</v>
      </c>
      <c r="AH642" s="304">
        <f t="shared" ca="1" si="289"/>
        <v>-7.4192612229385837</v>
      </c>
    </row>
    <row r="643" spans="1:34" x14ac:dyDescent="0.2">
      <c r="A643" s="347">
        <f t="shared" ca="1" si="267"/>
        <v>1E-4</v>
      </c>
      <c r="B643" s="304">
        <f t="shared" ca="1" si="268"/>
        <v>33.612300000000616</v>
      </c>
      <c r="D643" s="306">
        <f t="shared" ca="1" si="269"/>
        <v>-0.72931636910789532</v>
      </c>
      <c r="E643" s="307">
        <f t="shared" ca="1" si="270"/>
        <v>-2.426633972641886</v>
      </c>
      <c r="F643" s="304">
        <f t="shared" ca="1" si="271"/>
        <v>2.5338616385723323</v>
      </c>
      <c r="G643" s="306">
        <f t="shared" ca="1" si="272"/>
        <v>11.885931823605116</v>
      </c>
      <c r="H643" s="307">
        <f t="shared" ca="1" si="273"/>
        <v>-120.33035923299796</v>
      </c>
      <c r="I643" s="304">
        <f t="shared" ca="1" si="274"/>
        <v>120.91596556475793</v>
      </c>
      <c r="J643" s="306">
        <f t="shared" ca="1" si="275"/>
        <v>755.70453742140728</v>
      </c>
      <c r="K643" s="307">
        <f t="shared" ca="1" si="276"/>
        <v>-3.8602414842788595</v>
      </c>
      <c r="L643" s="304">
        <f t="shared" ca="1" si="261"/>
        <v>755.71439667616505</v>
      </c>
      <c r="M643" s="306">
        <f t="shared" ca="1" si="277"/>
        <v>-1.4723382182140836</v>
      </c>
      <c r="N643" s="304">
        <f t="shared" ca="1" si="278"/>
        <v>-84.358765919478628</v>
      </c>
      <c r="P643" s="310">
        <f t="shared" ca="1" si="279"/>
        <v>23</v>
      </c>
      <c r="Q643" s="304">
        <f t="shared" ca="1" si="280"/>
        <v>0</v>
      </c>
      <c r="R643" s="306">
        <f t="shared" ca="1" si="281"/>
        <v>0</v>
      </c>
      <c r="S643" s="307">
        <f t="shared" ca="1" si="282"/>
        <v>7.9769999999999968</v>
      </c>
      <c r="T643" s="304">
        <f t="shared" ca="1" si="262"/>
        <v>78.254369999999966</v>
      </c>
      <c r="U643" s="311">
        <f t="shared" ca="1" si="263"/>
        <v>0</v>
      </c>
      <c r="V643" s="306">
        <f t="shared" ca="1" si="264"/>
        <v>1.2254729708709131</v>
      </c>
      <c r="W643" s="304">
        <f t="shared" ca="1" si="265"/>
        <v>59.184047972449257</v>
      </c>
      <c r="Y643" s="314" t="str">
        <f t="shared" ca="1" si="283"/>
        <v/>
      </c>
      <c r="Z643" s="315" t="str">
        <f t="shared" ca="1" si="284"/>
        <v/>
      </c>
      <c r="AA643" s="316" t="str">
        <f t="shared" ca="1" si="285"/>
        <v/>
      </c>
      <c r="AC643" s="310" t="e">
        <f t="shared" ca="1" si="286"/>
        <v>#N/A</v>
      </c>
      <c r="AD643" s="323" t="e">
        <f t="shared" ca="1" si="287"/>
        <v>#N/A</v>
      </c>
      <c r="AE643" s="324" t="e">
        <f t="shared" ca="1" si="266"/>
        <v>#N/A</v>
      </c>
      <c r="AG643" s="306">
        <f t="shared" ca="1" si="288"/>
        <v>2.3431896581976703</v>
      </c>
      <c r="AH643" s="304">
        <f t="shared" ca="1" si="289"/>
        <v>-7.4192989062440846</v>
      </c>
    </row>
    <row r="644" spans="1:34" x14ac:dyDescent="0.2">
      <c r="A644" s="347">
        <f t="shared" ca="1" si="267"/>
        <v>1E-4</v>
      </c>
      <c r="B644" s="304">
        <f t="shared" ca="1" si="268"/>
        <v>33.612400000000619</v>
      </c>
      <c r="D644" s="306">
        <f t="shared" ca="1" si="269"/>
        <v>-0.7293141849740149</v>
      </c>
      <c r="E644" s="307">
        <f t="shared" ca="1" si="270"/>
        <v>-2.426595890499879</v>
      </c>
      <c r="F644" s="304">
        <f t="shared" ca="1" si="271"/>
        <v>2.5338245393466399</v>
      </c>
      <c r="G644" s="306">
        <f t="shared" ca="1" si="272"/>
        <v>11.885858892186619</v>
      </c>
      <c r="H644" s="307">
        <f t="shared" ca="1" si="273"/>
        <v>-120.33060189258701</v>
      </c>
      <c r="I644" s="304">
        <f t="shared" ca="1" si="274"/>
        <v>120.91619988007082</v>
      </c>
      <c r="J644" s="306">
        <f t="shared" ca="1" si="275"/>
        <v>755.70453742140728</v>
      </c>
      <c r="K644" s="307">
        <f t="shared" ca="1" si="276"/>
        <v>-3.8722745323351386</v>
      </c>
      <c r="L644" s="304">
        <f t="shared" ref="L644:L707" ca="1" si="290">SQRT(pos_x^2+pos_z^2)</f>
        <v>755.71445823760507</v>
      </c>
      <c r="M644" s="306">
        <f t="shared" ca="1" si="277"/>
        <v>-1.47233901572035</v>
      </c>
      <c r="N644" s="304">
        <f t="shared" ca="1" si="278"/>
        <v>-84.358811613221818</v>
      </c>
      <c r="P644" s="310">
        <f t="shared" ca="1" si="279"/>
        <v>23</v>
      </c>
      <c r="Q644" s="304">
        <f t="shared" ca="1" si="280"/>
        <v>0</v>
      </c>
      <c r="R644" s="306">
        <f t="shared" ca="1" si="281"/>
        <v>0</v>
      </c>
      <c r="S644" s="307">
        <f t="shared" ca="1" si="282"/>
        <v>7.9769999999999968</v>
      </c>
      <c r="T644" s="304">
        <f t="shared" ref="T644:T707" ca="1" si="291">m*g</f>
        <v>78.254369999999966</v>
      </c>
      <c r="U644" s="311">
        <f t="shared" ref="U644:U707" ca="1" si="292">IF(pos_xz&lt;L_rampe,Poids*COS(Beta),0)</f>
        <v>0</v>
      </c>
      <c r="V644" s="306">
        <f t="shared" ref="V644:V707" ca="1" si="293">Rho_moyen*(20000-Alt_rampe-pos_z)/(20000+Alt_rampe+pos_z)</f>
        <v>1.2254744454893705</v>
      </c>
      <c r="W644" s="304">
        <f t="shared" ref="W644:W707" ca="1" si="294">1/2*Rho*Sref*Cx*vit_xz^2</f>
        <v>59.184348567401749</v>
      </c>
      <c r="Y644" s="314" t="str">
        <f t="shared" ca="1" si="283"/>
        <v/>
      </c>
      <c r="Z644" s="315" t="str">
        <f t="shared" ca="1" si="284"/>
        <v/>
      </c>
      <c r="AA644" s="316" t="str">
        <f t="shared" ca="1" si="285"/>
        <v/>
      </c>
      <c r="AC644" s="310" t="e">
        <f t="shared" ca="1" si="286"/>
        <v>#N/A</v>
      </c>
      <c r="AD644" s="323" t="e">
        <f t="shared" ca="1" si="287"/>
        <v>#N/A</v>
      </c>
      <c r="AE644" s="324" t="e">
        <f t="shared" ref="AE644:AE707" ca="1" si="295">IF(t&lt;T_para, pos_z, NA())</f>
        <v>#N/A</v>
      </c>
      <c r="AG644" s="306">
        <f t="shared" ca="1" si="288"/>
        <v>2.3431527442489779</v>
      </c>
      <c r="AH644" s="304">
        <f t="shared" ca="1" si="289"/>
        <v>-7.4193365892502543</v>
      </c>
    </row>
    <row r="645" spans="1:34" x14ac:dyDescent="0.2">
      <c r="A645" s="347">
        <f t="shared" ref="A645:A708" ca="1" si="296">IF(B644+0.01&lt;=T_ini+ROUNDUP(Temps_fin_propu,0), 0.01, IF(K644&gt;0, 0.1, 0.0001))</f>
        <v>1E-4</v>
      </c>
      <c r="B645" s="304">
        <f t="shared" ref="B645:B708" ca="1" si="297">B644+pas</f>
        <v>33.612500000000622</v>
      </c>
      <c r="D645" s="306">
        <f t="shared" ref="D645:D708" ca="1" si="298">IF(AND(L644&lt;L_rampe,Poussee&lt;Poids*SIN(M644)),0,(-W644+Poussee)/m*COS(M644)-U644/m*SIN(M644))</f>
        <v>-0.72931200080938452</v>
      </c>
      <c r="E645" s="307">
        <f t="shared" ref="E645:E708" ca="1" si="299">IF(AND(L644&lt;L_rampe,Poussee&lt;Poids*SIN(M644)),0,(-W644+Poussee)/m*SIN(M644)+U644/m*COS(M644)-Poids/m)</f>
        <v>-2.426557808660359</v>
      </c>
      <c r="F645" s="304">
        <f t="shared" ref="F645:F708" ca="1" si="300">SQRT(acc_x^2+acc_z^2)</f>
        <v>2.5337874404328296</v>
      </c>
      <c r="G645" s="306">
        <f t="shared" ref="G645:G708" ca="1" si="301">G644+acc_x*pas</f>
        <v>11.885785960986537</v>
      </c>
      <c r="H645" s="307">
        <f t="shared" ref="H645:H708" ca="1" si="302">H644+acc_z*pas</f>
        <v>-120.33084454836788</v>
      </c>
      <c r="I645" s="304">
        <f t="shared" ref="I645:I708" ca="1" si="303">SQRT(vit_x^2+vit_z^2)</f>
        <v>120.91643419169232</v>
      </c>
      <c r="J645" s="306">
        <f t="shared" ref="J645:J708" ca="1" si="304">J644+0.5*(vit_x+G644)*pas*(K644&gt;=0)</f>
        <v>755.70453742140728</v>
      </c>
      <c r="K645" s="307">
        <f t="shared" ref="K645:K708" ca="1" si="305">K644+0.5*(vit_z+H644)*pas</f>
        <v>-3.8843076046571863</v>
      </c>
      <c r="L645" s="304">
        <f t="shared" ca="1" si="290"/>
        <v>755.71451999076396</v>
      </c>
      <c r="M645" s="306">
        <f t="shared" ref="M645:M708" ca="1" si="306">IF(AND(L644&gt;L_rampe,G645&gt;0),ATAN2(G645,H645),$M$4)</f>
        <v>-1.4723398132186321</v>
      </c>
      <c r="N645" s="304">
        <f t="shared" ref="N645:N708" ca="1" si="307">DEGREES(Beta)</f>
        <v>-84.358857306507559</v>
      </c>
      <c r="P645" s="310">
        <f t="shared" ref="P645:P708" ca="1" si="308">MATCH(t-pas/2-T_ini,CdP_t)</f>
        <v>23</v>
      </c>
      <c r="Q645" s="304">
        <f t="shared" ref="Q645:Q708" ca="1" si="309">(INDEX(CdP,2,i_P+1)-INDEX(CdP,2,i_P+0))/(INDEX(CdP,1,i_P+1)-INDEX(CdP,1,i_P+0))*(t-pas/2-T_ini-INDEX(CdP,1,i_P+0))+INDEX(CdP,2,i_P+0)</f>
        <v>0</v>
      </c>
      <c r="R645" s="306">
        <f t="shared" ref="R645:R708" ca="1" si="310">Poussee/(g*ISP)</f>
        <v>0</v>
      </c>
      <c r="S645" s="307">
        <f t="shared" ref="S645:S708" ca="1" si="311">S644-Débit*pas</f>
        <v>7.9769999999999968</v>
      </c>
      <c r="T645" s="304">
        <f t="shared" ca="1" si="291"/>
        <v>78.254369999999966</v>
      </c>
      <c r="U645" s="311">
        <f t="shared" ca="1" si="292"/>
        <v>0</v>
      </c>
      <c r="V645" s="306">
        <f t="shared" ca="1" si="293"/>
        <v>1.2254759201125762</v>
      </c>
      <c r="W645" s="304">
        <f t="shared" ca="1" si="294"/>
        <v>59.184649159966462</v>
      </c>
      <c r="Y645" s="314" t="str">
        <f t="shared" ref="Y645:Y708" ca="1" si="312">IF(AND(pos_z&lt;=0,K644&gt;0),"Impact balistique","") &amp; IF(AND(H646&lt;0,vit_z&gt;=0),"Apogée","") &amp; IF(AND(Poussee=0,Q644&gt;0),"Fin de propulsion","") &amp; IF(AND(L646&gt;L_rampe,pos_xz&lt;=L_rampe),"Sortie de rampe","")</f>
        <v/>
      </c>
      <c r="Z645" s="315" t="str">
        <f t="shared" ref="Z645:Z708" ca="1" si="313">IF(ABS(t-T_para)&lt;pas/2,"Para","")</f>
        <v/>
      </c>
      <c r="AA645" s="316" t="str">
        <f t="shared" ref="AA645:AA708" ca="1" si="314">IF(ABS(t-T_satellite)&lt;pas/2,"Satellite","")</f>
        <v/>
      </c>
      <c r="AC645" s="310" t="e">
        <f t="shared" ref="AC645:AC708" ca="1" si="315">IF(ABS(t-ROUND(t,0))&lt;0.001,t,NA())</f>
        <v>#N/A</v>
      </c>
      <c r="AD645" s="323" t="e">
        <f t="shared" ref="AD645:AD708" ca="1" si="316">IF(ABS(t-ROUND(t,0))&lt;0.001,pos_x,NA())</f>
        <v>#N/A</v>
      </c>
      <c r="AE645" s="324" t="e">
        <f t="shared" ca="1" si="295"/>
        <v>#N/A</v>
      </c>
      <c r="AG645" s="306">
        <f t="shared" ref="AG645:AG708" ca="1" si="317">IF(AND(L644&lt;L_rampe,Poussee&lt;Poids*SIN(M644)),0,(-W644+Poussee)/m-Poids*SIN(M644)/m)</f>
        <v>2.3431158305857043</v>
      </c>
      <c r="AH645" s="304">
        <f t="shared" ref="AH645:AH708" ca="1" si="318">IF(AND(L644&lt;L_rampe,Poussee&lt;Poids*SIN(M644)), g*SIN(M644), (-W644+Poussee)/m)</f>
        <v>-7.4193742719570981</v>
      </c>
    </row>
    <row r="646" spans="1:34" x14ac:dyDescent="0.2">
      <c r="A646" s="347">
        <f t="shared" ca="1" si="296"/>
        <v>1E-4</v>
      </c>
      <c r="B646" s="304">
        <f t="shared" ca="1" si="297"/>
        <v>33.612600000000626</v>
      </c>
      <c r="D646" s="306">
        <f t="shared" ca="1" si="298"/>
        <v>-0.72930981661400496</v>
      </c>
      <c r="E646" s="307">
        <f t="shared" ca="1" si="299"/>
        <v>-2.426519727123333</v>
      </c>
      <c r="F646" s="304">
        <f t="shared" ca="1" si="300"/>
        <v>2.5337503418309089</v>
      </c>
      <c r="G646" s="306">
        <f t="shared" ca="1" si="301"/>
        <v>11.885713030004876</v>
      </c>
      <c r="H646" s="307">
        <f t="shared" ca="1" si="302"/>
        <v>-120.33108720034059</v>
      </c>
      <c r="I646" s="304">
        <f t="shared" ca="1" si="303"/>
        <v>120.91666849962249</v>
      </c>
      <c r="J646" s="306">
        <f t="shared" ca="1" si="304"/>
        <v>755.70453742140728</v>
      </c>
      <c r="K646" s="307">
        <f t="shared" ca="1" si="305"/>
        <v>-3.8963407012446218</v>
      </c>
      <c r="L646" s="304">
        <f t="shared" ca="1" si="290"/>
        <v>755.71458193564274</v>
      </c>
      <c r="M646" s="306">
        <f t="shared" ca="1" si="306"/>
        <v>-1.4723406107089299</v>
      </c>
      <c r="N646" s="304">
        <f t="shared" ca="1" si="307"/>
        <v>-84.358902999335825</v>
      </c>
      <c r="P646" s="310">
        <f t="shared" ca="1" si="308"/>
        <v>23</v>
      </c>
      <c r="Q646" s="304">
        <f t="shared" ca="1" si="309"/>
        <v>0</v>
      </c>
      <c r="R646" s="306">
        <f t="shared" ca="1" si="310"/>
        <v>0</v>
      </c>
      <c r="S646" s="307">
        <f t="shared" ca="1" si="311"/>
        <v>7.9769999999999968</v>
      </c>
      <c r="T646" s="304">
        <f t="shared" ca="1" si="291"/>
        <v>78.254369999999966</v>
      </c>
      <c r="U646" s="311">
        <f t="shared" ca="1" si="292"/>
        <v>0</v>
      </c>
      <c r="V646" s="306">
        <f t="shared" ca="1" si="293"/>
        <v>1.2254773947405306</v>
      </c>
      <c r="W646" s="304">
        <f t="shared" ca="1" si="294"/>
        <v>59.184949750143431</v>
      </c>
      <c r="Y646" s="314" t="str">
        <f t="shared" ca="1" si="312"/>
        <v/>
      </c>
      <c r="Z646" s="315" t="str">
        <f t="shared" ca="1" si="313"/>
        <v/>
      </c>
      <c r="AA646" s="316" t="str">
        <f t="shared" ca="1" si="314"/>
        <v/>
      </c>
      <c r="AC646" s="310" t="e">
        <f t="shared" ca="1" si="315"/>
        <v>#N/A</v>
      </c>
      <c r="AD646" s="323" t="e">
        <f t="shared" ca="1" si="316"/>
        <v>#N/A</v>
      </c>
      <c r="AE646" s="324" t="e">
        <f t="shared" ca="1" si="295"/>
        <v>#N/A</v>
      </c>
      <c r="AG646" s="306">
        <f t="shared" ca="1" si="317"/>
        <v>2.3430789172078548</v>
      </c>
      <c r="AH646" s="304">
        <f t="shared" ca="1" si="318"/>
        <v>-7.4194119543646089</v>
      </c>
    </row>
    <row r="647" spans="1:34" x14ac:dyDescent="0.2">
      <c r="A647" s="347">
        <f t="shared" ca="1" si="296"/>
        <v>1E-4</v>
      </c>
      <c r="B647" s="304">
        <f t="shared" ca="1" si="297"/>
        <v>33.612700000000629</v>
      </c>
      <c r="D647" s="306">
        <f t="shared" ca="1" si="298"/>
        <v>-0.72930763238787855</v>
      </c>
      <c r="E647" s="307">
        <f t="shared" ca="1" si="299"/>
        <v>-2.4264816458887974</v>
      </c>
      <c r="F647" s="304">
        <f t="shared" ca="1" si="300"/>
        <v>2.5337132435408747</v>
      </c>
      <c r="G647" s="306">
        <f t="shared" ca="1" si="301"/>
        <v>11.885640099241638</v>
      </c>
      <c r="H647" s="307">
        <f t="shared" ca="1" si="302"/>
        <v>-120.33132984850518</v>
      </c>
      <c r="I647" s="304">
        <f t="shared" ca="1" si="303"/>
        <v>120.91690280386136</v>
      </c>
      <c r="J647" s="306">
        <f t="shared" ca="1" si="304"/>
        <v>755.70453742140728</v>
      </c>
      <c r="K647" s="307">
        <f t="shared" ca="1" si="305"/>
        <v>-3.9083738220970643</v>
      </c>
      <c r="L647" s="304">
        <f t="shared" ca="1" si="290"/>
        <v>755.71464407224266</v>
      </c>
      <c r="M647" s="306">
        <f t="shared" ca="1" si="306"/>
        <v>-1.4723414081912438</v>
      </c>
      <c r="N647" s="304">
        <f t="shared" ca="1" si="307"/>
        <v>-84.358948691706644</v>
      </c>
      <c r="P647" s="310">
        <f t="shared" ca="1" si="308"/>
        <v>23</v>
      </c>
      <c r="Q647" s="304">
        <f t="shared" ca="1" si="309"/>
        <v>0</v>
      </c>
      <c r="R647" s="306">
        <f t="shared" ca="1" si="310"/>
        <v>0</v>
      </c>
      <c r="S647" s="307">
        <f t="shared" ca="1" si="311"/>
        <v>7.9769999999999968</v>
      </c>
      <c r="T647" s="304">
        <f t="shared" ca="1" si="291"/>
        <v>78.254369999999966</v>
      </c>
      <c r="U647" s="311">
        <f t="shared" ca="1" si="292"/>
        <v>0</v>
      </c>
      <c r="V647" s="306">
        <f t="shared" ca="1" si="293"/>
        <v>1.2254788693732332</v>
      </c>
      <c r="W647" s="304">
        <f t="shared" ca="1" si="294"/>
        <v>59.185250337932636</v>
      </c>
      <c r="Y647" s="314" t="str">
        <f t="shared" ca="1" si="312"/>
        <v/>
      </c>
      <c r="Z647" s="315" t="str">
        <f t="shared" ca="1" si="313"/>
        <v/>
      </c>
      <c r="AA647" s="316" t="str">
        <f t="shared" ca="1" si="314"/>
        <v/>
      </c>
      <c r="AC647" s="310" t="e">
        <f t="shared" ca="1" si="315"/>
        <v>#N/A</v>
      </c>
      <c r="AD647" s="323" t="e">
        <f t="shared" ca="1" si="316"/>
        <v>#N/A</v>
      </c>
      <c r="AE647" s="324" t="e">
        <f t="shared" ca="1" si="295"/>
        <v>#N/A</v>
      </c>
      <c r="AG647" s="306">
        <f t="shared" ca="1" si="317"/>
        <v>2.343042004115425</v>
      </c>
      <c r="AH647" s="304">
        <f t="shared" ca="1" si="318"/>
        <v>-7.4194496364727911</v>
      </c>
    </row>
    <row r="648" spans="1:34" x14ac:dyDescent="0.2">
      <c r="A648" s="347">
        <f t="shared" ca="1" si="296"/>
        <v>1E-4</v>
      </c>
      <c r="B648" s="304">
        <f t="shared" ca="1" si="297"/>
        <v>33.612800000000632</v>
      </c>
      <c r="D648" s="306">
        <f t="shared" ca="1" si="298"/>
        <v>-0.72930544813100306</v>
      </c>
      <c r="E648" s="307">
        <f t="shared" ca="1" si="299"/>
        <v>-2.4264435649567533</v>
      </c>
      <c r="F648" s="304">
        <f t="shared" ca="1" si="300"/>
        <v>2.5336761455627279</v>
      </c>
      <c r="G648" s="306">
        <f t="shared" ca="1" si="301"/>
        <v>11.885567168696824</v>
      </c>
      <c r="H648" s="307">
        <f t="shared" ca="1" si="302"/>
        <v>-120.33157249286167</v>
      </c>
      <c r="I648" s="304">
        <f t="shared" ca="1" si="303"/>
        <v>120.91713710440894</v>
      </c>
      <c r="J648" s="306">
        <f t="shared" ca="1" si="304"/>
        <v>755.70453742140728</v>
      </c>
      <c r="K648" s="307">
        <f t="shared" ca="1" si="305"/>
        <v>-3.9204069672141326</v>
      </c>
      <c r="L648" s="304">
        <f t="shared" ca="1" si="290"/>
        <v>755.71470640056475</v>
      </c>
      <c r="M648" s="306">
        <f t="shared" ca="1" si="306"/>
        <v>-1.4723422056655737</v>
      </c>
      <c r="N648" s="304">
        <f t="shared" ca="1" si="307"/>
        <v>-84.358994383620015</v>
      </c>
      <c r="P648" s="310">
        <f t="shared" ca="1" si="308"/>
        <v>23</v>
      </c>
      <c r="Q648" s="304">
        <f t="shared" ca="1" si="309"/>
        <v>0</v>
      </c>
      <c r="R648" s="306">
        <f t="shared" ca="1" si="310"/>
        <v>0</v>
      </c>
      <c r="S648" s="307">
        <f t="shared" ca="1" si="311"/>
        <v>7.9769999999999968</v>
      </c>
      <c r="T648" s="304">
        <f t="shared" ca="1" si="291"/>
        <v>78.254369999999966</v>
      </c>
      <c r="U648" s="311">
        <f t="shared" ca="1" si="292"/>
        <v>0</v>
      </c>
      <c r="V648" s="306">
        <f t="shared" ca="1" si="293"/>
        <v>1.2254803440106841</v>
      </c>
      <c r="W648" s="304">
        <f t="shared" ca="1" si="294"/>
        <v>59.185550923334041</v>
      </c>
      <c r="Y648" s="314" t="str">
        <f t="shared" ca="1" si="312"/>
        <v/>
      </c>
      <c r="Z648" s="315" t="str">
        <f t="shared" ca="1" si="313"/>
        <v/>
      </c>
      <c r="AA648" s="316" t="str">
        <f t="shared" ca="1" si="314"/>
        <v/>
      </c>
      <c r="AC648" s="310" t="e">
        <f t="shared" ca="1" si="315"/>
        <v>#N/A</v>
      </c>
      <c r="AD648" s="323" t="e">
        <f t="shared" ca="1" si="316"/>
        <v>#N/A</v>
      </c>
      <c r="AE648" s="324" t="e">
        <f t="shared" ca="1" si="295"/>
        <v>#N/A</v>
      </c>
      <c r="AG648" s="306">
        <f t="shared" ca="1" si="317"/>
        <v>2.3430050913084193</v>
      </c>
      <c r="AH648" s="304">
        <f t="shared" ca="1" si="318"/>
        <v>-7.4194873182816421</v>
      </c>
    </row>
    <row r="649" spans="1:34" x14ac:dyDescent="0.2">
      <c r="A649" s="347">
        <f t="shared" ca="1" si="296"/>
        <v>1E-4</v>
      </c>
      <c r="B649" s="304">
        <f t="shared" ca="1" si="297"/>
        <v>33.612900000000636</v>
      </c>
      <c r="D649" s="306">
        <f t="shared" ca="1" si="298"/>
        <v>-0.72930326384338151</v>
      </c>
      <c r="E649" s="307">
        <f t="shared" ca="1" si="299"/>
        <v>-2.4264054843272067</v>
      </c>
      <c r="F649" s="304">
        <f t="shared" ca="1" si="300"/>
        <v>2.5336390478964748</v>
      </c>
      <c r="G649" s="306">
        <f t="shared" ca="1" si="301"/>
        <v>11.885494238370439</v>
      </c>
      <c r="H649" s="307">
        <f t="shared" ca="1" si="302"/>
        <v>-120.3318151334101</v>
      </c>
      <c r="I649" s="304">
        <f t="shared" ca="1" si="303"/>
        <v>120.91737140126526</v>
      </c>
      <c r="J649" s="306">
        <f t="shared" ca="1" si="304"/>
        <v>755.70453742140728</v>
      </c>
      <c r="K649" s="307">
        <f t="shared" ca="1" si="305"/>
        <v>-3.9324401365954462</v>
      </c>
      <c r="L649" s="304">
        <f t="shared" ca="1" si="290"/>
        <v>755.71476892061003</v>
      </c>
      <c r="M649" s="306">
        <f t="shared" ca="1" si="306"/>
        <v>-1.4723430031319198</v>
      </c>
      <c r="N649" s="304">
        <f t="shared" ca="1" si="307"/>
        <v>-84.359040075075953</v>
      </c>
      <c r="P649" s="310">
        <f t="shared" ca="1" si="308"/>
        <v>23</v>
      </c>
      <c r="Q649" s="304">
        <f t="shared" ca="1" si="309"/>
        <v>0</v>
      </c>
      <c r="R649" s="306">
        <f t="shared" ca="1" si="310"/>
        <v>0</v>
      </c>
      <c r="S649" s="307">
        <f t="shared" ca="1" si="311"/>
        <v>7.9769999999999968</v>
      </c>
      <c r="T649" s="304">
        <f t="shared" ca="1" si="291"/>
        <v>78.254369999999966</v>
      </c>
      <c r="U649" s="311">
        <f t="shared" ca="1" si="292"/>
        <v>0</v>
      </c>
      <c r="V649" s="306">
        <f t="shared" ca="1" si="293"/>
        <v>1.2254818186528835</v>
      </c>
      <c r="W649" s="304">
        <f t="shared" ca="1" si="294"/>
        <v>59.185851506347703</v>
      </c>
      <c r="Y649" s="314" t="str">
        <f t="shared" ca="1" si="312"/>
        <v/>
      </c>
      <c r="Z649" s="315" t="str">
        <f t="shared" ca="1" si="313"/>
        <v/>
      </c>
      <c r="AA649" s="316" t="str">
        <f t="shared" ca="1" si="314"/>
        <v/>
      </c>
      <c r="AC649" s="310" t="e">
        <f t="shared" ca="1" si="315"/>
        <v>#N/A</v>
      </c>
      <c r="AD649" s="323" t="e">
        <f t="shared" ca="1" si="316"/>
        <v>#N/A</v>
      </c>
      <c r="AE649" s="324" t="e">
        <f t="shared" ca="1" si="295"/>
        <v>#N/A</v>
      </c>
      <c r="AG649" s="306">
        <f t="shared" ca="1" si="317"/>
        <v>2.3429681787868422</v>
      </c>
      <c r="AH649" s="304">
        <f t="shared" ca="1" si="318"/>
        <v>-7.4195249997911574</v>
      </c>
    </row>
    <row r="650" spans="1:34" x14ac:dyDescent="0.2">
      <c r="A650" s="347">
        <f t="shared" ca="1" si="296"/>
        <v>1E-4</v>
      </c>
      <c r="B650" s="304">
        <f t="shared" ca="1" si="297"/>
        <v>33.613000000000639</v>
      </c>
      <c r="D650" s="306">
        <f t="shared" ca="1" si="298"/>
        <v>-0.72930107952501455</v>
      </c>
      <c r="E650" s="307">
        <f t="shared" ca="1" si="299"/>
        <v>-2.4263674040001479</v>
      </c>
      <c r="F650" s="304">
        <f t="shared" ca="1" si="300"/>
        <v>2.5336019505421068</v>
      </c>
      <c r="G650" s="306">
        <f t="shared" ca="1" si="301"/>
        <v>11.885421308262487</v>
      </c>
      <c r="H650" s="307">
        <f t="shared" ca="1" si="302"/>
        <v>-120.3320577701505</v>
      </c>
      <c r="I650" s="304">
        <f t="shared" ca="1" si="303"/>
        <v>120.91760569443035</v>
      </c>
      <c r="J650" s="306">
        <f t="shared" ca="1" si="304"/>
        <v>755.70453742140728</v>
      </c>
      <c r="K650" s="307">
        <f t="shared" ca="1" si="305"/>
        <v>-3.9444733302406241</v>
      </c>
      <c r="L650" s="304">
        <f t="shared" ca="1" si="290"/>
        <v>755.71483163237986</v>
      </c>
      <c r="M650" s="306">
        <f t="shared" ca="1" si="306"/>
        <v>-1.4723438005902822</v>
      </c>
      <c r="N650" s="304">
        <f t="shared" ca="1" si="307"/>
        <v>-84.359085766074458</v>
      </c>
      <c r="P650" s="310">
        <f t="shared" ca="1" si="308"/>
        <v>23</v>
      </c>
      <c r="Q650" s="304">
        <f t="shared" ca="1" si="309"/>
        <v>0</v>
      </c>
      <c r="R650" s="306">
        <f t="shared" ca="1" si="310"/>
        <v>0</v>
      </c>
      <c r="S650" s="307">
        <f t="shared" ca="1" si="311"/>
        <v>7.9769999999999968</v>
      </c>
      <c r="T650" s="304">
        <f t="shared" ca="1" si="291"/>
        <v>78.254369999999966</v>
      </c>
      <c r="U650" s="311">
        <f t="shared" ca="1" si="292"/>
        <v>0</v>
      </c>
      <c r="V650" s="306">
        <f t="shared" ca="1" si="293"/>
        <v>1.2254832932998312</v>
      </c>
      <c r="W650" s="304">
        <f t="shared" ca="1" si="294"/>
        <v>59.186152086973578</v>
      </c>
      <c r="Y650" s="314" t="str">
        <f t="shared" ca="1" si="312"/>
        <v/>
      </c>
      <c r="Z650" s="315" t="str">
        <f t="shared" ca="1" si="313"/>
        <v/>
      </c>
      <c r="AA650" s="316" t="str">
        <f t="shared" ca="1" si="314"/>
        <v/>
      </c>
      <c r="AC650" s="310" t="e">
        <f t="shared" ca="1" si="315"/>
        <v>#N/A</v>
      </c>
      <c r="AD650" s="323" t="e">
        <f t="shared" ca="1" si="316"/>
        <v>#N/A</v>
      </c>
      <c r="AE650" s="324" t="e">
        <f t="shared" ca="1" si="295"/>
        <v>#N/A</v>
      </c>
      <c r="AG650" s="306">
        <f t="shared" ca="1" si="317"/>
        <v>2.3429312665506856</v>
      </c>
      <c r="AH650" s="304">
        <f t="shared" ca="1" si="318"/>
        <v>-7.4195626810013451</v>
      </c>
    </row>
    <row r="651" spans="1:34" x14ac:dyDescent="0.2">
      <c r="A651" s="347">
        <f t="shared" ca="1" si="296"/>
        <v>1E-4</v>
      </c>
      <c r="B651" s="304">
        <f t="shared" ca="1" si="297"/>
        <v>33.613100000000642</v>
      </c>
      <c r="D651" s="306">
        <f t="shared" ca="1" si="298"/>
        <v>-0.72929889517590163</v>
      </c>
      <c r="E651" s="307">
        <f t="shared" ca="1" si="299"/>
        <v>-2.4263293239755868</v>
      </c>
      <c r="F651" s="304">
        <f t="shared" ca="1" si="300"/>
        <v>2.5335648534996333</v>
      </c>
      <c r="G651" s="306">
        <f t="shared" ca="1" si="301"/>
        <v>11.885348378372969</v>
      </c>
      <c r="H651" s="307">
        <f t="shared" ca="1" si="302"/>
        <v>-120.3323004030829</v>
      </c>
      <c r="I651" s="304">
        <f t="shared" ca="1" si="303"/>
        <v>120.91783998390426</v>
      </c>
      <c r="J651" s="306">
        <f t="shared" ca="1" si="304"/>
        <v>755.70453742140728</v>
      </c>
      <c r="K651" s="307">
        <f t="shared" ca="1" si="305"/>
        <v>-3.9565065481492856</v>
      </c>
      <c r="L651" s="304">
        <f t="shared" ca="1" si="290"/>
        <v>755.71489453587503</v>
      </c>
      <c r="M651" s="306">
        <f t="shared" ca="1" si="306"/>
        <v>-1.4723445980406613</v>
      </c>
      <c r="N651" s="304">
        <f t="shared" ca="1" si="307"/>
        <v>-84.359131456615543</v>
      </c>
      <c r="P651" s="310">
        <f t="shared" ca="1" si="308"/>
        <v>23</v>
      </c>
      <c r="Q651" s="304">
        <f t="shared" ca="1" si="309"/>
        <v>0</v>
      </c>
      <c r="R651" s="306">
        <f t="shared" ca="1" si="310"/>
        <v>0</v>
      </c>
      <c r="S651" s="307">
        <f t="shared" ca="1" si="311"/>
        <v>7.9769999999999968</v>
      </c>
      <c r="T651" s="304">
        <f t="shared" ca="1" si="291"/>
        <v>78.254369999999966</v>
      </c>
      <c r="U651" s="311">
        <f t="shared" ca="1" si="292"/>
        <v>0</v>
      </c>
      <c r="V651" s="306">
        <f t="shared" ca="1" si="293"/>
        <v>1.2254847679515273</v>
      </c>
      <c r="W651" s="304">
        <f t="shared" ca="1" si="294"/>
        <v>59.186452665211689</v>
      </c>
      <c r="Y651" s="314" t="str">
        <f t="shared" ca="1" si="312"/>
        <v/>
      </c>
      <c r="Z651" s="315" t="str">
        <f t="shared" ca="1" si="313"/>
        <v/>
      </c>
      <c r="AA651" s="316" t="str">
        <f t="shared" ca="1" si="314"/>
        <v/>
      </c>
      <c r="AC651" s="310" t="e">
        <f t="shared" ca="1" si="315"/>
        <v>#N/A</v>
      </c>
      <c r="AD651" s="323" t="e">
        <f t="shared" ca="1" si="316"/>
        <v>#N/A</v>
      </c>
      <c r="AE651" s="324" t="e">
        <f t="shared" ca="1" si="295"/>
        <v>#N/A</v>
      </c>
      <c r="AG651" s="306">
        <f t="shared" ca="1" si="317"/>
        <v>2.3428943545999568</v>
      </c>
      <c r="AH651" s="304">
        <f t="shared" ca="1" si="318"/>
        <v>-7.419600361912198</v>
      </c>
    </row>
    <row r="652" spans="1:34" x14ac:dyDescent="0.2">
      <c r="A652" s="347">
        <f t="shared" ca="1" si="296"/>
        <v>1E-4</v>
      </c>
      <c r="B652" s="304">
        <f t="shared" ca="1" si="297"/>
        <v>33.613200000000646</v>
      </c>
      <c r="D652" s="306">
        <f t="shared" ca="1" si="298"/>
        <v>-0.72929671079604286</v>
      </c>
      <c r="E652" s="307">
        <f t="shared" ca="1" si="299"/>
        <v>-2.4262912442535169</v>
      </c>
      <c r="F652" s="304">
        <f t="shared" ca="1" si="300"/>
        <v>2.5335277567690482</v>
      </c>
      <c r="G652" s="306">
        <f t="shared" ca="1" si="301"/>
        <v>11.88527544870189</v>
      </c>
      <c r="H652" s="307">
        <f t="shared" ca="1" si="302"/>
        <v>-120.33254303220733</v>
      </c>
      <c r="I652" s="304">
        <f t="shared" ca="1" si="303"/>
        <v>120.91807426968701</v>
      </c>
      <c r="J652" s="306">
        <f t="shared" ca="1" si="304"/>
        <v>755.70453742140728</v>
      </c>
      <c r="K652" s="307">
        <f t="shared" ca="1" si="305"/>
        <v>-3.9685397903210502</v>
      </c>
      <c r="L652" s="304">
        <f t="shared" ca="1" si="290"/>
        <v>755.71495763109681</v>
      </c>
      <c r="M652" s="306">
        <f t="shared" ca="1" si="306"/>
        <v>-1.4723453954830568</v>
      </c>
      <c r="N652" s="304">
        <f t="shared" ca="1" si="307"/>
        <v>-84.35917714669921</v>
      </c>
      <c r="P652" s="310">
        <f t="shared" ca="1" si="308"/>
        <v>23</v>
      </c>
      <c r="Q652" s="304">
        <f t="shared" ca="1" si="309"/>
        <v>0</v>
      </c>
      <c r="R652" s="306">
        <f t="shared" ca="1" si="310"/>
        <v>0</v>
      </c>
      <c r="S652" s="307">
        <f t="shared" ca="1" si="311"/>
        <v>7.9769999999999968</v>
      </c>
      <c r="T652" s="304">
        <f t="shared" ca="1" si="291"/>
        <v>78.254369999999966</v>
      </c>
      <c r="U652" s="311">
        <f t="shared" ca="1" si="292"/>
        <v>0</v>
      </c>
      <c r="V652" s="306">
        <f t="shared" ca="1" si="293"/>
        <v>1.2254862426079711</v>
      </c>
      <c r="W652" s="304">
        <f t="shared" ca="1" si="294"/>
        <v>59.186753241062021</v>
      </c>
      <c r="Y652" s="314" t="str">
        <f t="shared" ca="1" si="312"/>
        <v/>
      </c>
      <c r="Z652" s="315" t="str">
        <f t="shared" ca="1" si="313"/>
        <v/>
      </c>
      <c r="AA652" s="316" t="str">
        <f t="shared" ca="1" si="314"/>
        <v/>
      </c>
      <c r="AC652" s="310" t="e">
        <f t="shared" ca="1" si="315"/>
        <v>#N/A</v>
      </c>
      <c r="AD652" s="323" t="e">
        <f t="shared" ca="1" si="316"/>
        <v>#N/A</v>
      </c>
      <c r="AE652" s="324" t="e">
        <f t="shared" ca="1" si="295"/>
        <v>#N/A</v>
      </c>
      <c r="AG652" s="306">
        <f t="shared" ca="1" si="317"/>
        <v>2.342857442934652</v>
      </c>
      <c r="AH652" s="304">
        <f t="shared" ca="1" si="318"/>
        <v>-7.4196380425237196</v>
      </c>
    </row>
    <row r="653" spans="1:34" x14ac:dyDescent="0.2">
      <c r="A653" s="347">
        <f t="shared" ca="1" si="296"/>
        <v>1E-4</v>
      </c>
      <c r="B653" s="304">
        <f t="shared" ca="1" si="297"/>
        <v>33.613300000000649</v>
      </c>
      <c r="D653" s="306">
        <f t="shared" ca="1" si="298"/>
        <v>-0.72929452638544157</v>
      </c>
      <c r="E653" s="307">
        <f t="shared" ca="1" si="299"/>
        <v>-2.4262531648339403</v>
      </c>
      <c r="F653" s="304">
        <f t="shared" ca="1" si="300"/>
        <v>2.5334906603503549</v>
      </c>
      <c r="G653" s="306">
        <f t="shared" ca="1" si="301"/>
        <v>11.885202519249251</v>
      </c>
      <c r="H653" s="307">
        <f t="shared" ca="1" si="302"/>
        <v>-120.33278565752381</v>
      </c>
      <c r="I653" s="304">
        <f t="shared" ca="1" si="303"/>
        <v>120.91830855177861</v>
      </c>
      <c r="J653" s="306">
        <f t="shared" ca="1" si="304"/>
        <v>755.70453742140728</v>
      </c>
      <c r="K653" s="307">
        <f t="shared" ca="1" si="305"/>
        <v>-3.9805730567555369</v>
      </c>
      <c r="L653" s="304">
        <f t="shared" ca="1" si="290"/>
        <v>755.71502091804643</v>
      </c>
      <c r="M653" s="306">
        <f t="shared" ca="1" si="306"/>
        <v>-1.4723461929174688</v>
      </c>
      <c r="N653" s="304">
        <f t="shared" ca="1" si="307"/>
        <v>-84.359222836325458</v>
      </c>
      <c r="P653" s="310">
        <f t="shared" ca="1" si="308"/>
        <v>23</v>
      </c>
      <c r="Q653" s="304">
        <f t="shared" ca="1" si="309"/>
        <v>0</v>
      </c>
      <c r="R653" s="306">
        <f t="shared" ca="1" si="310"/>
        <v>0</v>
      </c>
      <c r="S653" s="307">
        <f t="shared" ca="1" si="311"/>
        <v>7.9769999999999968</v>
      </c>
      <c r="T653" s="304">
        <f t="shared" ca="1" si="291"/>
        <v>78.254369999999966</v>
      </c>
      <c r="U653" s="311">
        <f t="shared" ca="1" si="292"/>
        <v>0</v>
      </c>
      <c r="V653" s="306">
        <f t="shared" ca="1" si="293"/>
        <v>1.2254877172691638</v>
      </c>
      <c r="W653" s="304">
        <f t="shared" ca="1" si="294"/>
        <v>59.187053814524575</v>
      </c>
      <c r="Y653" s="314" t="str">
        <f t="shared" ca="1" si="312"/>
        <v/>
      </c>
      <c r="Z653" s="315" t="str">
        <f t="shared" ca="1" si="313"/>
        <v/>
      </c>
      <c r="AA653" s="316" t="str">
        <f t="shared" ca="1" si="314"/>
        <v/>
      </c>
      <c r="AC653" s="310" t="e">
        <f t="shared" ca="1" si="315"/>
        <v>#N/A</v>
      </c>
      <c r="AD653" s="323" t="e">
        <f t="shared" ca="1" si="316"/>
        <v>#N/A</v>
      </c>
      <c r="AE653" s="324" t="e">
        <f t="shared" ca="1" si="295"/>
        <v>#N/A</v>
      </c>
      <c r="AG653" s="306">
        <f t="shared" ca="1" si="317"/>
        <v>2.3428205315547741</v>
      </c>
      <c r="AH653" s="304">
        <f t="shared" ca="1" si="318"/>
        <v>-7.4196757228359091</v>
      </c>
    </row>
    <row r="654" spans="1:34" x14ac:dyDescent="0.2">
      <c r="A654" s="347">
        <f t="shared" ca="1" si="296"/>
        <v>1E-4</v>
      </c>
      <c r="B654" s="304">
        <f t="shared" ca="1" si="297"/>
        <v>33.613400000000652</v>
      </c>
      <c r="D654" s="306">
        <f t="shared" ca="1" si="298"/>
        <v>-0.72929234194409764</v>
      </c>
      <c r="E654" s="307">
        <f t="shared" ca="1" si="299"/>
        <v>-2.4262150857168594</v>
      </c>
      <c r="F654" s="304">
        <f t="shared" ca="1" si="300"/>
        <v>2.5334535642435552</v>
      </c>
      <c r="G654" s="306">
        <f t="shared" ca="1" si="301"/>
        <v>11.885129590015056</v>
      </c>
      <c r="H654" s="307">
        <f t="shared" ca="1" si="302"/>
        <v>-120.33302827903239</v>
      </c>
      <c r="I654" s="304">
        <f t="shared" ca="1" si="303"/>
        <v>120.91854283017912</v>
      </c>
      <c r="J654" s="306">
        <f t="shared" ca="1" si="304"/>
        <v>755.70453742140728</v>
      </c>
      <c r="K654" s="307">
        <f t="shared" ca="1" si="305"/>
        <v>-3.9926063474523645</v>
      </c>
      <c r="L654" s="304">
        <f t="shared" ca="1" si="290"/>
        <v>755.71508439672482</v>
      </c>
      <c r="M654" s="306">
        <f t="shared" ca="1" si="306"/>
        <v>-1.4723469903438979</v>
      </c>
      <c r="N654" s="304">
        <f t="shared" ca="1" si="307"/>
        <v>-84.359268525494329</v>
      </c>
      <c r="P654" s="310">
        <f t="shared" ca="1" si="308"/>
        <v>23</v>
      </c>
      <c r="Q654" s="304">
        <f t="shared" ca="1" si="309"/>
        <v>0</v>
      </c>
      <c r="R654" s="306">
        <f t="shared" ca="1" si="310"/>
        <v>0</v>
      </c>
      <c r="S654" s="307">
        <f t="shared" ca="1" si="311"/>
        <v>7.9769999999999968</v>
      </c>
      <c r="T654" s="304">
        <f t="shared" ca="1" si="291"/>
        <v>78.254369999999966</v>
      </c>
      <c r="U654" s="311">
        <f t="shared" ca="1" si="292"/>
        <v>0</v>
      </c>
      <c r="V654" s="306">
        <f t="shared" ca="1" si="293"/>
        <v>1.2254891919351043</v>
      </c>
      <c r="W654" s="304">
        <f t="shared" ca="1" si="294"/>
        <v>59.187354385599342</v>
      </c>
      <c r="Y654" s="314" t="str">
        <f t="shared" ca="1" si="312"/>
        <v/>
      </c>
      <c r="Z654" s="315" t="str">
        <f t="shared" ca="1" si="313"/>
        <v/>
      </c>
      <c r="AA654" s="316" t="str">
        <f t="shared" ca="1" si="314"/>
        <v/>
      </c>
      <c r="AC654" s="310" t="e">
        <f t="shared" ca="1" si="315"/>
        <v>#N/A</v>
      </c>
      <c r="AD654" s="323" t="e">
        <f t="shared" ca="1" si="316"/>
        <v>#N/A</v>
      </c>
      <c r="AE654" s="324" t="e">
        <f t="shared" ca="1" si="295"/>
        <v>#N/A</v>
      </c>
      <c r="AG654" s="306">
        <f t="shared" ca="1" si="317"/>
        <v>2.342783620460323</v>
      </c>
      <c r="AH654" s="304">
        <f t="shared" ca="1" si="318"/>
        <v>-7.4197134028487648</v>
      </c>
    </row>
    <row r="655" spans="1:34" x14ac:dyDescent="0.2">
      <c r="A655" s="347">
        <f t="shared" ca="1" si="296"/>
        <v>1E-4</v>
      </c>
      <c r="B655" s="304">
        <f t="shared" ca="1" si="297"/>
        <v>33.613500000000656</v>
      </c>
      <c r="D655" s="306">
        <f t="shared" ca="1" si="298"/>
        <v>-0.72929015747200931</v>
      </c>
      <c r="E655" s="307">
        <f t="shared" ca="1" si="299"/>
        <v>-2.4261770069022726</v>
      </c>
      <c r="F655" s="304">
        <f t="shared" ca="1" si="300"/>
        <v>2.5334164684486478</v>
      </c>
      <c r="G655" s="306">
        <f t="shared" ca="1" si="301"/>
        <v>11.885056660999309</v>
      </c>
      <c r="H655" s="307">
        <f t="shared" ca="1" si="302"/>
        <v>-120.33327089673308</v>
      </c>
      <c r="I655" s="304">
        <f t="shared" ca="1" si="303"/>
        <v>120.91877710488853</v>
      </c>
      <c r="J655" s="306">
        <f t="shared" ca="1" si="304"/>
        <v>755.70453742140728</v>
      </c>
      <c r="K655" s="307">
        <f t="shared" ca="1" si="305"/>
        <v>-4.0046396624111527</v>
      </c>
      <c r="L655" s="304">
        <f t="shared" ca="1" si="290"/>
        <v>755.7151480671331</v>
      </c>
      <c r="M655" s="306">
        <f t="shared" ca="1" si="306"/>
        <v>-1.4723477877623437</v>
      </c>
      <c r="N655" s="304">
        <f t="shared" ca="1" si="307"/>
        <v>-84.359314214205767</v>
      </c>
      <c r="P655" s="310">
        <f t="shared" ca="1" si="308"/>
        <v>23</v>
      </c>
      <c r="Q655" s="304">
        <f t="shared" ca="1" si="309"/>
        <v>0</v>
      </c>
      <c r="R655" s="306">
        <f t="shared" ca="1" si="310"/>
        <v>0</v>
      </c>
      <c r="S655" s="307">
        <f t="shared" ca="1" si="311"/>
        <v>7.9769999999999968</v>
      </c>
      <c r="T655" s="304">
        <f t="shared" ca="1" si="291"/>
        <v>78.254369999999966</v>
      </c>
      <c r="U655" s="311">
        <f t="shared" ca="1" si="292"/>
        <v>0</v>
      </c>
      <c r="V655" s="306">
        <f t="shared" ca="1" si="293"/>
        <v>1.2254906666057932</v>
      </c>
      <c r="W655" s="304">
        <f t="shared" ca="1" si="294"/>
        <v>59.187654954286316</v>
      </c>
      <c r="Y655" s="314" t="str">
        <f t="shared" ca="1" si="312"/>
        <v/>
      </c>
      <c r="Z655" s="315" t="str">
        <f t="shared" ca="1" si="313"/>
        <v/>
      </c>
      <c r="AA655" s="316" t="str">
        <f t="shared" ca="1" si="314"/>
        <v/>
      </c>
      <c r="AC655" s="310" t="e">
        <f t="shared" ca="1" si="315"/>
        <v>#N/A</v>
      </c>
      <c r="AD655" s="323" t="e">
        <f t="shared" ca="1" si="316"/>
        <v>#N/A</v>
      </c>
      <c r="AE655" s="324" t="e">
        <f t="shared" ca="1" si="295"/>
        <v>#N/A</v>
      </c>
      <c r="AG655" s="306">
        <f t="shared" ca="1" si="317"/>
        <v>2.3427467096512995</v>
      </c>
      <c r="AH655" s="304">
        <f t="shared" ca="1" si="318"/>
        <v>-7.4197510825622874</v>
      </c>
    </row>
    <row r="656" spans="1:34" x14ac:dyDescent="0.2">
      <c r="A656" s="347">
        <f t="shared" ca="1" si="296"/>
        <v>1E-4</v>
      </c>
      <c r="B656" s="304">
        <f t="shared" ca="1" si="297"/>
        <v>33.613600000000659</v>
      </c>
      <c r="D656" s="306">
        <f t="shared" ca="1" si="298"/>
        <v>-0.72928797296918135</v>
      </c>
      <c r="E656" s="307">
        <f t="shared" ca="1" si="299"/>
        <v>-2.4261389283901815</v>
      </c>
      <c r="F656" s="304">
        <f t="shared" ca="1" si="300"/>
        <v>2.5333793729656353</v>
      </c>
      <c r="G656" s="306">
        <f t="shared" ca="1" si="301"/>
        <v>11.884983732202013</v>
      </c>
      <c r="H656" s="307">
        <f t="shared" ca="1" si="302"/>
        <v>-120.33351351062592</v>
      </c>
      <c r="I656" s="304">
        <f t="shared" ca="1" si="303"/>
        <v>120.91901137590688</v>
      </c>
      <c r="J656" s="306">
        <f t="shared" ca="1" si="304"/>
        <v>755.70453742140728</v>
      </c>
      <c r="K656" s="307">
        <f t="shared" ca="1" si="305"/>
        <v>-4.0166730016315206</v>
      </c>
      <c r="L656" s="304">
        <f t="shared" ca="1" si="290"/>
        <v>755.71521192927241</v>
      </c>
      <c r="M656" s="306">
        <f t="shared" ca="1" si="306"/>
        <v>-1.4723485851728066</v>
      </c>
      <c r="N656" s="304">
        <f t="shared" ca="1" si="307"/>
        <v>-84.359359902459843</v>
      </c>
      <c r="P656" s="310">
        <f t="shared" ca="1" si="308"/>
        <v>23</v>
      </c>
      <c r="Q656" s="304">
        <f t="shared" ca="1" si="309"/>
        <v>0</v>
      </c>
      <c r="R656" s="306">
        <f t="shared" ca="1" si="310"/>
        <v>0</v>
      </c>
      <c r="S656" s="307">
        <f t="shared" ca="1" si="311"/>
        <v>7.9769999999999968</v>
      </c>
      <c r="T656" s="304">
        <f t="shared" ca="1" si="291"/>
        <v>78.254369999999966</v>
      </c>
      <c r="U656" s="311">
        <f t="shared" ca="1" si="292"/>
        <v>0</v>
      </c>
      <c r="V656" s="306">
        <f t="shared" ca="1" si="293"/>
        <v>1.2254921412812299</v>
      </c>
      <c r="W656" s="304">
        <f t="shared" ca="1" si="294"/>
        <v>59.187955520585461</v>
      </c>
      <c r="Y656" s="314" t="str">
        <f t="shared" ca="1" si="312"/>
        <v/>
      </c>
      <c r="Z656" s="315" t="str">
        <f t="shared" ca="1" si="313"/>
        <v/>
      </c>
      <c r="AA656" s="316" t="str">
        <f t="shared" ca="1" si="314"/>
        <v/>
      </c>
      <c r="AC656" s="310" t="e">
        <f t="shared" ca="1" si="315"/>
        <v>#N/A</v>
      </c>
      <c r="AD656" s="323" t="e">
        <f t="shared" ca="1" si="316"/>
        <v>#N/A</v>
      </c>
      <c r="AE656" s="324" t="e">
        <f t="shared" ca="1" si="295"/>
        <v>#N/A</v>
      </c>
      <c r="AG656" s="306">
        <f t="shared" ca="1" si="317"/>
        <v>2.3427097991277073</v>
      </c>
      <c r="AH656" s="304">
        <f t="shared" ca="1" si="318"/>
        <v>-7.4197887619764753</v>
      </c>
    </row>
    <row r="657" spans="1:34" x14ac:dyDescent="0.2">
      <c r="A657" s="347">
        <f t="shared" ca="1" si="296"/>
        <v>1E-4</v>
      </c>
      <c r="B657" s="304">
        <f t="shared" ca="1" si="297"/>
        <v>33.613700000000662</v>
      </c>
      <c r="D657" s="306">
        <f t="shared" ca="1" si="298"/>
        <v>-0.72928578843560998</v>
      </c>
      <c r="E657" s="307">
        <f t="shared" ca="1" si="299"/>
        <v>-2.4261008501805925</v>
      </c>
      <c r="F657" s="304">
        <f t="shared" ca="1" si="300"/>
        <v>2.5333422777945231</v>
      </c>
      <c r="G657" s="306">
        <f t="shared" ca="1" si="301"/>
        <v>11.884910803623169</v>
      </c>
      <c r="H657" s="307">
        <f t="shared" ca="1" si="302"/>
        <v>-120.33375612071094</v>
      </c>
      <c r="I657" s="304">
        <f t="shared" ca="1" si="303"/>
        <v>120.91924564323422</v>
      </c>
      <c r="J657" s="306">
        <f t="shared" ca="1" si="304"/>
        <v>755.70453742140728</v>
      </c>
      <c r="K657" s="307">
        <f t="shared" ca="1" si="305"/>
        <v>-4.0287063651130879</v>
      </c>
      <c r="L657" s="304">
        <f t="shared" ca="1" si="290"/>
        <v>755.71527598314401</v>
      </c>
      <c r="M657" s="306">
        <f t="shared" ca="1" si="306"/>
        <v>-1.4723493825752867</v>
      </c>
      <c r="N657" s="304">
        <f t="shared" ca="1" si="307"/>
        <v>-84.359405590256515</v>
      </c>
      <c r="P657" s="310">
        <f t="shared" ca="1" si="308"/>
        <v>23</v>
      </c>
      <c r="Q657" s="304">
        <f t="shared" ca="1" si="309"/>
        <v>0</v>
      </c>
      <c r="R657" s="306">
        <f t="shared" ca="1" si="310"/>
        <v>0</v>
      </c>
      <c r="S657" s="307">
        <f t="shared" ca="1" si="311"/>
        <v>7.9769999999999968</v>
      </c>
      <c r="T657" s="304">
        <f t="shared" ca="1" si="291"/>
        <v>78.254369999999966</v>
      </c>
      <c r="U657" s="311">
        <f t="shared" ca="1" si="292"/>
        <v>0</v>
      </c>
      <c r="V657" s="306">
        <f t="shared" ca="1" si="293"/>
        <v>1.2254936159614147</v>
      </c>
      <c r="W657" s="304">
        <f t="shared" ca="1" si="294"/>
        <v>59.188256084496842</v>
      </c>
      <c r="Y657" s="314" t="str">
        <f t="shared" ca="1" si="312"/>
        <v/>
      </c>
      <c r="Z657" s="315" t="str">
        <f t="shared" ca="1" si="313"/>
        <v/>
      </c>
      <c r="AA657" s="316" t="str">
        <f t="shared" ca="1" si="314"/>
        <v/>
      </c>
      <c r="AC657" s="310" t="e">
        <f t="shared" ca="1" si="315"/>
        <v>#N/A</v>
      </c>
      <c r="AD657" s="323" t="e">
        <f t="shared" ca="1" si="316"/>
        <v>#N/A</v>
      </c>
      <c r="AE657" s="324" t="e">
        <f t="shared" ca="1" si="295"/>
        <v>#N/A</v>
      </c>
      <c r="AG657" s="306">
        <f t="shared" ca="1" si="317"/>
        <v>2.3426728888895481</v>
      </c>
      <c r="AH657" s="304">
        <f t="shared" ca="1" si="318"/>
        <v>-7.4198264410913231</v>
      </c>
    </row>
    <row r="658" spans="1:34" x14ac:dyDescent="0.2">
      <c r="A658" s="347">
        <f t="shared" ca="1" si="296"/>
        <v>1E-4</v>
      </c>
      <c r="B658" s="304">
        <f t="shared" ca="1" si="297"/>
        <v>33.613800000000666</v>
      </c>
      <c r="D658" s="306">
        <f t="shared" ca="1" si="298"/>
        <v>-0.72928360387129942</v>
      </c>
      <c r="E658" s="307">
        <f t="shared" ca="1" si="299"/>
        <v>-2.426062772273494</v>
      </c>
      <c r="F658" s="304">
        <f t="shared" ca="1" si="300"/>
        <v>2.5333051829353015</v>
      </c>
      <c r="G658" s="306">
        <f t="shared" ca="1" si="301"/>
        <v>11.884837875262782</v>
      </c>
      <c r="H658" s="307">
        <f t="shared" ca="1" si="302"/>
        <v>-120.33399872698817</v>
      </c>
      <c r="I658" s="304">
        <f t="shared" ca="1" si="303"/>
        <v>120.91947990687055</v>
      </c>
      <c r="J658" s="306">
        <f t="shared" ca="1" si="304"/>
        <v>755.70453742140728</v>
      </c>
      <c r="K658" s="307">
        <f t="shared" ca="1" si="305"/>
        <v>-4.0407397528554725</v>
      </c>
      <c r="L658" s="304">
        <f t="shared" ca="1" si="290"/>
        <v>755.71534022874869</v>
      </c>
      <c r="M658" s="306">
        <f t="shared" ca="1" si="306"/>
        <v>-1.472350179969784</v>
      </c>
      <c r="N658" s="304">
        <f t="shared" ca="1" si="307"/>
        <v>-84.359451277595824</v>
      </c>
      <c r="P658" s="310">
        <f t="shared" ca="1" si="308"/>
        <v>23</v>
      </c>
      <c r="Q658" s="304">
        <f t="shared" ca="1" si="309"/>
        <v>0</v>
      </c>
      <c r="R658" s="306">
        <f t="shared" ca="1" si="310"/>
        <v>0</v>
      </c>
      <c r="S658" s="307">
        <f t="shared" ca="1" si="311"/>
        <v>7.9769999999999968</v>
      </c>
      <c r="T658" s="304">
        <f t="shared" ca="1" si="291"/>
        <v>78.254369999999966</v>
      </c>
      <c r="U658" s="311">
        <f t="shared" ca="1" si="292"/>
        <v>0</v>
      </c>
      <c r="V658" s="306">
        <f t="shared" ca="1" si="293"/>
        <v>1.2254950906463475</v>
      </c>
      <c r="W658" s="304">
        <f t="shared" ca="1" si="294"/>
        <v>59.188556646020402</v>
      </c>
      <c r="Y658" s="314" t="str">
        <f t="shared" ca="1" si="312"/>
        <v/>
      </c>
      <c r="Z658" s="315" t="str">
        <f t="shared" ca="1" si="313"/>
        <v/>
      </c>
      <c r="AA658" s="316" t="str">
        <f t="shared" ca="1" si="314"/>
        <v/>
      </c>
      <c r="AC658" s="310" t="e">
        <f t="shared" ca="1" si="315"/>
        <v>#N/A</v>
      </c>
      <c r="AD658" s="323" t="e">
        <f t="shared" ca="1" si="316"/>
        <v>#N/A</v>
      </c>
      <c r="AE658" s="324" t="e">
        <f t="shared" ca="1" si="295"/>
        <v>#N/A</v>
      </c>
      <c r="AG658" s="306">
        <f t="shared" ca="1" si="317"/>
        <v>2.3426359789368156</v>
      </c>
      <c r="AH658" s="304">
        <f t="shared" ca="1" si="318"/>
        <v>-7.4198641199068405</v>
      </c>
    </row>
    <row r="659" spans="1:34" x14ac:dyDescent="0.2">
      <c r="A659" s="347">
        <f t="shared" ca="1" si="296"/>
        <v>1E-4</v>
      </c>
      <c r="B659" s="304">
        <f t="shared" ca="1" si="297"/>
        <v>33.613900000000669</v>
      </c>
      <c r="D659" s="306">
        <f t="shared" ca="1" si="298"/>
        <v>-0.7292814192762489</v>
      </c>
      <c r="E659" s="307">
        <f t="shared" ca="1" si="299"/>
        <v>-2.4260246946688957</v>
      </c>
      <c r="F659" s="304">
        <f t="shared" ca="1" si="300"/>
        <v>2.5332680883879797</v>
      </c>
      <c r="G659" s="306">
        <f t="shared" ca="1" si="301"/>
        <v>11.884764947120855</v>
      </c>
      <c r="H659" s="307">
        <f t="shared" ca="1" si="302"/>
        <v>-120.33424132945764</v>
      </c>
      <c r="I659" s="304">
        <f t="shared" ca="1" si="303"/>
        <v>120.91971416681592</v>
      </c>
      <c r="J659" s="306">
        <f t="shared" ca="1" si="304"/>
        <v>755.70453742140728</v>
      </c>
      <c r="K659" s="307">
        <f t="shared" ca="1" si="305"/>
        <v>-4.0527731648582952</v>
      </c>
      <c r="L659" s="304">
        <f t="shared" ca="1" si="290"/>
        <v>755.71540466608792</v>
      </c>
      <c r="M659" s="306">
        <f t="shared" ca="1" si="306"/>
        <v>-1.4723509773562988</v>
      </c>
      <c r="N659" s="304">
        <f t="shared" ca="1" si="307"/>
        <v>-84.359496964477756</v>
      </c>
      <c r="P659" s="310">
        <f t="shared" ca="1" si="308"/>
        <v>23</v>
      </c>
      <c r="Q659" s="304">
        <f t="shared" ca="1" si="309"/>
        <v>0</v>
      </c>
      <c r="R659" s="306">
        <f t="shared" ca="1" si="310"/>
        <v>0</v>
      </c>
      <c r="S659" s="307">
        <f t="shared" ca="1" si="311"/>
        <v>7.9769999999999968</v>
      </c>
      <c r="T659" s="304">
        <f t="shared" ca="1" si="291"/>
        <v>78.254369999999966</v>
      </c>
      <c r="U659" s="311">
        <f t="shared" ca="1" si="292"/>
        <v>0</v>
      </c>
      <c r="V659" s="306">
        <f t="shared" ca="1" si="293"/>
        <v>1.2254965653360286</v>
      </c>
      <c r="W659" s="304">
        <f t="shared" ca="1" si="294"/>
        <v>59.188857205156175</v>
      </c>
      <c r="Y659" s="314" t="str">
        <f t="shared" ca="1" si="312"/>
        <v/>
      </c>
      <c r="Z659" s="315" t="str">
        <f t="shared" ca="1" si="313"/>
        <v/>
      </c>
      <c r="AA659" s="316" t="str">
        <f t="shared" ca="1" si="314"/>
        <v/>
      </c>
      <c r="AC659" s="310" t="e">
        <f t="shared" ca="1" si="315"/>
        <v>#N/A</v>
      </c>
      <c r="AD659" s="323" t="e">
        <f t="shared" ca="1" si="316"/>
        <v>#N/A</v>
      </c>
      <c r="AE659" s="324" t="e">
        <f t="shared" ca="1" si="295"/>
        <v>#N/A</v>
      </c>
      <c r="AG659" s="306">
        <f t="shared" ca="1" si="317"/>
        <v>2.3425990692695144</v>
      </c>
      <c r="AH659" s="304">
        <f t="shared" ca="1" si="318"/>
        <v>-7.4199017984230196</v>
      </c>
    </row>
    <row r="660" spans="1:34" x14ac:dyDescent="0.2">
      <c r="A660" s="347">
        <f t="shared" ca="1" si="296"/>
        <v>1E-4</v>
      </c>
      <c r="B660" s="304">
        <f t="shared" ca="1" si="297"/>
        <v>33.614000000000672</v>
      </c>
      <c r="D660" s="306">
        <f t="shared" ca="1" si="298"/>
        <v>-0.72927923465045874</v>
      </c>
      <c r="E660" s="307">
        <f t="shared" ca="1" si="299"/>
        <v>-2.4259866173667923</v>
      </c>
      <c r="F660" s="304">
        <f t="shared" ca="1" si="300"/>
        <v>2.5332309941525524</v>
      </c>
      <c r="G660" s="306">
        <f t="shared" ca="1" si="301"/>
        <v>11.88469201919739</v>
      </c>
      <c r="H660" s="307">
        <f t="shared" ca="1" si="302"/>
        <v>-120.33448392811938</v>
      </c>
      <c r="I660" s="304">
        <f t="shared" ca="1" si="303"/>
        <v>120.91994842307037</v>
      </c>
      <c r="J660" s="306">
        <f t="shared" ca="1" si="304"/>
        <v>755.70453742140728</v>
      </c>
      <c r="K660" s="307">
        <f t="shared" ca="1" si="305"/>
        <v>-4.0648066011211741</v>
      </c>
      <c r="L660" s="304">
        <f t="shared" ca="1" si="290"/>
        <v>755.71546929516251</v>
      </c>
      <c r="M660" s="306">
        <f t="shared" ca="1" si="306"/>
        <v>-1.4723517747348311</v>
      </c>
      <c r="N660" s="304">
        <f t="shared" ca="1" si="307"/>
        <v>-84.359542650902341</v>
      </c>
      <c r="P660" s="310">
        <f t="shared" ca="1" si="308"/>
        <v>23</v>
      </c>
      <c r="Q660" s="304">
        <f t="shared" ca="1" si="309"/>
        <v>0</v>
      </c>
      <c r="R660" s="306">
        <f t="shared" ca="1" si="310"/>
        <v>0</v>
      </c>
      <c r="S660" s="307">
        <f t="shared" ca="1" si="311"/>
        <v>7.9769999999999968</v>
      </c>
      <c r="T660" s="304">
        <f t="shared" ca="1" si="291"/>
        <v>78.254369999999966</v>
      </c>
      <c r="U660" s="311">
        <f t="shared" ca="1" si="292"/>
        <v>0</v>
      </c>
      <c r="V660" s="306">
        <f t="shared" ca="1" si="293"/>
        <v>1.2254980400304574</v>
      </c>
      <c r="W660" s="304">
        <f t="shared" ca="1" si="294"/>
        <v>59.189157761904141</v>
      </c>
      <c r="Y660" s="314" t="str">
        <f t="shared" ca="1" si="312"/>
        <v/>
      </c>
      <c r="Z660" s="315" t="str">
        <f t="shared" ca="1" si="313"/>
        <v/>
      </c>
      <c r="AA660" s="316" t="str">
        <f t="shared" ca="1" si="314"/>
        <v/>
      </c>
      <c r="AC660" s="310" t="e">
        <f t="shared" ca="1" si="315"/>
        <v>#N/A</v>
      </c>
      <c r="AD660" s="323" t="e">
        <f t="shared" ca="1" si="316"/>
        <v>#N/A</v>
      </c>
      <c r="AE660" s="324" t="e">
        <f t="shared" ca="1" si="295"/>
        <v>#N/A</v>
      </c>
      <c r="AG660" s="306">
        <f t="shared" ca="1" si="317"/>
        <v>2.3425621598876454</v>
      </c>
      <c r="AH660" s="304">
        <f t="shared" ca="1" si="318"/>
        <v>-7.4199394766398648</v>
      </c>
    </row>
    <row r="661" spans="1:34" x14ac:dyDescent="0.2">
      <c r="A661" s="347">
        <f t="shared" ca="1" si="296"/>
        <v>1E-4</v>
      </c>
      <c r="B661" s="304">
        <f t="shared" ca="1" si="297"/>
        <v>33.614100000000676</v>
      </c>
      <c r="D661" s="306">
        <f t="shared" ca="1" si="298"/>
        <v>-0.72927704999393039</v>
      </c>
      <c r="E661" s="307">
        <f t="shared" ca="1" si="299"/>
        <v>-2.4259485403671865</v>
      </c>
      <c r="F661" s="304">
        <f t="shared" ca="1" si="300"/>
        <v>2.5331939002290236</v>
      </c>
      <c r="G661" s="306">
        <f t="shared" ca="1" si="301"/>
        <v>11.884619091492389</v>
      </c>
      <c r="H661" s="307">
        <f t="shared" ca="1" si="302"/>
        <v>-120.33472652297343</v>
      </c>
      <c r="I661" s="304">
        <f t="shared" ca="1" si="303"/>
        <v>120.92018267563388</v>
      </c>
      <c r="J661" s="306">
        <f t="shared" ca="1" si="304"/>
        <v>755.70453742140728</v>
      </c>
      <c r="K661" s="307">
        <f t="shared" ca="1" si="305"/>
        <v>-4.076840061643729</v>
      </c>
      <c r="L661" s="304">
        <f t="shared" ca="1" si="290"/>
        <v>755.7155341159737</v>
      </c>
      <c r="M661" s="306">
        <f t="shared" ca="1" si="306"/>
        <v>-1.4723525721053812</v>
      </c>
      <c r="N661" s="304">
        <f t="shared" ca="1" si="307"/>
        <v>-84.359588336869564</v>
      </c>
      <c r="P661" s="310">
        <f t="shared" ca="1" si="308"/>
        <v>23</v>
      </c>
      <c r="Q661" s="304">
        <f t="shared" ca="1" si="309"/>
        <v>0</v>
      </c>
      <c r="R661" s="306">
        <f t="shared" ca="1" si="310"/>
        <v>0</v>
      </c>
      <c r="S661" s="307">
        <f t="shared" ca="1" si="311"/>
        <v>7.9769999999999968</v>
      </c>
      <c r="T661" s="304">
        <f t="shared" ca="1" si="291"/>
        <v>78.254369999999966</v>
      </c>
      <c r="U661" s="311">
        <f t="shared" ca="1" si="292"/>
        <v>0</v>
      </c>
      <c r="V661" s="306">
        <f t="shared" ca="1" si="293"/>
        <v>1.2254995147296346</v>
      </c>
      <c r="W661" s="304">
        <f t="shared" ca="1" si="294"/>
        <v>59.189458316264293</v>
      </c>
      <c r="Y661" s="314" t="str">
        <f t="shared" ca="1" si="312"/>
        <v/>
      </c>
      <c r="Z661" s="315" t="str">
        <f t="shared" ca="1" si="313"/>
        <v/>
      </c>
      <c r="AA661" s="316" t="str">
        <f t="shared" ca="1" si="314"/>
        <v/>
      </c>
      <c r="AC661" s="310" t="e">
        <f t="shared" ca="1" si="315"/>
        <v>#N/A</v>
      </c>
      <c r="AD661" s="323" t="e">
        <f t="shared" ca="1" si="316"/>
        <v>#N/A</v>
      </c>
      <c r="AE661" s="324" t="e">
        <f t="shared" ca="1" si="295"/>
        <v>#N/A</v>
      </c>
      <c r="AG661" s="306">
        <f t="shared" ca="1" si="317"/>
        <v>2.3425252507912111</v>
      </c>
      <c r="AH661" s="304">
        <f t="shared" ca="1" si="318"/>
        <v>-7.4199771545573734</v>
      </c>
    </row>
    <row r="662" spans="1:34" x14ac:dyDescent="0.2">
      <c r="A662" s="347">
        <f t="shared" ca="1" si="296"/>
        <v>1E-4</v>
      </c>
      <c r="B662" s="304">
        <f t="shared" ca="1" si="297"/>
        <v>33.614200000000679</v>
      </c>
      <c r="D662" s="306">
        <f t="shared" ca="1" si="298"/>
        <v>-0.72927486530666374</v>
      </c>
      <c r="E662" s="307">
        <f t="shared" ca="1" si="299"/>
        <v>-2.4259104636700801</v>
      </c>
      <c r="F662" s="304">
        <f t="shared" ca="1" si="300"/>
        <v>2.5331568066173946</v>
      </c>
      <c r="G662" s="306">
        <f t="shared" ca="1" si="301"/>
        <v>11.884546164005858</v>
      </c>
      <c r="H662" s="307">
        <f t="shared" ca="1" si="302"/>
        <v>-120.3349691140198</v>
      </c>
      <c r="I662" s="304">
        <f t="shared" ca="1" si="303"/>
        <v>120.92041692450653</v>
      </c>
      <c r="J662" s="306">
        <f t="shared" ca="1" si="304"/>
        <v>755.70453742140728</v>
      </c>
      <c r="K662" s="307">
        <f t="shared" ca="1" si="305"/>
        <v>-4.088873546425579</v>
      </c>
      <c r="L662" s="304">
        <f t="shared" ca="1" si="290"/>
        <v>755.71559912852263</v>
      </c>
      <c r="M662" s="306">
        <f t="shared" ca="1" si="306"/>
        <v>-1.4723533694679487</v>
      </c>
      <c r="N662" s="304">
        <f t="shared" ca="1" si="307"/>
        <v>-84.359634022379424</v>
      </c>
      <c r="P662" s="310">
        <f t="shared" ca="1" si="308"/>
        <v>23</v>
      </c>
      <c r="Q662" s="304">
        <f t="shared" ca="1" si="309"/>
        <v>0</v>
      </c>
      <c r="R662" s="306">
        <f t="shared" ca="1" si="310"/>
        <v>0</v>
      </c>
      <c r="S662" s="307">
        <f t="shared" ca="1" si="311"/>
        <v>7.9769999999999968</v>
      </c>
      <c r="T662" s="304">
        <f t="shared" ca="1" si="291"/>
        <v>78.254369999999966</v>
      </c>
      <c r="U662" s="311">
        <f t="shared" ca="1" si="292"/>
        <v>0</v>
      </c>
      <c r="V662" s="306">
        <f t="shared" ca="1" si="293"/>
        <v>1.2255009894335591</v>
      </c>
      <c r="W662" s="304">
        <f t="shared" ca="1" si="294"/>
        <v>59.189758868236623</v>
      </c>
      <c r="Y662" s="314" t="str">
        <f t="shared" ca="1" si="312"/>
        <v/>
      </c>
      <c r="Z662" s="315" t="str">
        <f t="shared" ca="1" si="313"/>
        <v/>
      </c>
      <c r="AA662" s="316" t="str">
        <f t="shared" ca="1" si="314"/>
        <v/>
      </c>
      <c r="AC662" s="310" t="e">
        <f t="shared" ca="1" si="315"/>
        <v>#N/A</v>
      </c>
      <c r="AD662" s="323" t="e">
        <f t="shared" ca="1" si="316"/>
        <v>#N/A</v>
      </c>
      <c r="AE662" s="324" t="e">
        <f t="shared" ca="1" si="295"/>
        <v>#N/A</v>
      </c>
      <c r="AG662" s="306">
        <f t="shared" ca="1" si="317"/>
        <v>2.3424883419802089</v>
      </c>
      <c r="AH662" s="304">
        <f t="shared" ca="1" si="318"/>
        <v>-7.4200148321755446</v>
      </c>
    </row>
    <row r="663" spans="1:34" x14ac:dyDescent="0.2">
      <c r="A663" s="347">
        <f t="shared" ca="1" si="296"/>
        <v>1E-4</v>
      </c>
      <c r="B663" s="304">
        <f t="shared" ca="1" si="297"/>
        <v>33.614300000000682</v>
      </c>
      <c r="D663" s="306">
        <f t="shared" ca="1" si="298"/>
        <v>-0.7292726805886619</v>
      </c>
      <c r="E663" s="307">
        <f t="shared" ca="1" si="299"/>
        <v>-2.4258723872754722</v>
      </c>
      <c r="F663" s="304">
        <f t="shared" ca="1" si="300"/>
        <v>2.5331197133176651</v>
      </c>
      <c r="G663" s="306">
        <f t="shared" ca="1" si="301"/>
        <v>11.884473236737799</v>
      </c>
      <c r="H663" s="307">
        <f t="shared" ca="1" si="302"/>
        <v>-120.33521170125853</v>
      </c>
      <c r="I663" s="304">
        <f t="shared" ca="1" si="303"/>
        <v>120.92065116968831</v>
      </c>
      <c r="J663" s="306">
        <f t="shared" ca="1" si="304"/>
        <v>755.70453742140728</v>
      </c>
      <c r="K663" s="307">
        <f t="shared" ca="1" si="305"/>
        <v>-4.1009070554663429</v>
      </c>
      <c r="L663" s="304">
        <f t="shared" ca="1" si="290"/>
        <v>755.71566433281021</v>
      </c>
      <c r="M663" s="306">
        <f t="shared" ca="1" si="306"/>
        <v>-1.4723541668225342</v>
      </c>
      <c r="N663" s="304">
        <f t="shared" ca="1" si="307"/>
        <v>-84.359679707431951</v>
      </c>
      <c r="P663" s="310">
        <f t="shared" ca="1" si="308"/>
        <v>23</v>
      </c>
      <c r="Q663" s="304">
        <f t="shared" ca="1" si="309"/>
        <v>0</v>
      </c>
      <c r="R663" s="306">
        <f t="shared" ca="1" si="310"/>
        <v>0</v>
      </c>
      <c r="S663" s="307">
        <f t="shared" ca="1" si="311"/>
        <v>7.9769999999999968</v>
      </c>
      <c r="T663" s="304">
        <f t="shared" ca="1" si="291"/>
        <v>78.254369999999966</v>
      </c>
      <c r="U663" s="311">
        <f t="shared" ca="1" si="292"/>
        <v>0</v>
      </c>
      <c r="V663" s="306">
        <f t="shared" ca="1" si="293"/>
        <v>1.2255024641422319</v>
      </c>
      <c r="W663" s="304">
        <f t="shared" ca="1" si="294"/>
        <v>59.190059417821139</v>
      </c>
      <c r="Y663" s="314" t="str">
        <f t="shared" ca="1" si="312"/>
        <v/>
      </c>
      <c r="Z663" s="315" t="str">
        <f t="shared" ca="1" si="313"/>
        <v/>
      </c>
      <c r="AA663" s="316" t="str">
        <f t="shared" ca="1" si="314"/>
        <v/>
      </c>
      <c r="AC663" s="310" t="e">
        <f t="shared" ca="1" si="315"/>
        <v>#N/A</v>
      </c>
      <c r="AD663" s="323" t="e">
        <f t="shared" ca="1" si="316"/>
        <v>#N/A</v>
      </c>
      <c r="AE663" s="324" t="e">
        <f t="shared" ca="1" si="295"/>
        <v>#N/A</v>
      </c>
      <c r="AG663" s="306">
        <f t="shared" ca="1" si="317"/>
        <v>2.3424514334546416</v>
      </c>
      <c r="AH663" s="304">
        <f t="shared" ca="1" si="318"/>
        <v>-7.4200525094943774</v>
      </c>
    </row>
    <row r="664" spans="1:34" x14ac:dyDescent="0.2">
      <c r="A664" s="347">
        <f t="shared" ca="1" si="296"/>
        <v>1E-4</v>
      </c>
      <c r="B664" s="304">
        <f t="shared" ca="1" si="297"/>
        <v>33.614400000000686</v>
      </c>
      <c r="D664" s="306">
        <f t="shared" ca="1" si="298"/>
        <v>-0.72927049583992343</v>
      </c>
      <c r="E664" s="307">
        <f t="shared" ca="1" si="299"/>
        <v>-2.4258343111833636</v>
      </c>
      <c r="F664" s="304">
        <f t="shared" ca="1" si="300"/>
        <v>2.5330826203298367</v>
      </c>
      <c r="G664" s="306">
        <f t="shared" ca="1" si="301"/>
        <v>11.884400309688216</v>
      </c>
      <c r="H664" s="307">
        <f t="shared" ca="1" si="302"/>
        <v>-120.33545428468965</v>
      </c>
      <c r="I664" s="304">
        <f t="shared" ca="1" si="303"/>
        <v>120.92088541117927</v>
      </c>
      <c r="J664" s="306">
        <f t="shared" ca="1" si="304"/>
        <v>755.70453742140728</v>
      </c>
      <c r="K664" s="307">
        <f t="shared" ca="1" si="305"/>
        <v>-4.1129405887656407</v>
      </c>
      <c r="L664" s="304">
        <f t="shared" ca="1" si="290"/>
        <v>755.7157297288378</v>
      </c>
      <c r="M664" s="306">
        <f t="shared" ca="1" si="306"/>
        <v>-1.4723549641691378</v>
      </c>
      <c r="N664" s="304">
        <f t="shared" ca="1" si="307"/>
        <v>-84.359725392027144</v>
      </c>
      <c r="P664" s="310">
        <f t="shared" ca="1" si="308"/>
        <v>23</v>
      </c>
      <c r="Q664" s="304">
        <f t="shared" ca="1" si="309"/>
        <v>0</v>
      </c>
      <c r="R664" s="306">
        <f t="shared" ca="1" si="310"/>
        <v>0</v>
      </c>
      <c r="S664" s="307">
        <f t="shared" ca="1" si="311"/>
        <v>7.9769999999999968</v>
      </c>
      <c r="T664" s="304">
        <f t="shared" ca="1" si="291"/>
        <v>78.254369999999966</v>
      </c>
      <c r="U664" s="311">
        <f t="shared" ca="1" si="292"/>
        <v>0</v>
      </c>
      <c r="V664" s="306">
        <f t="shared" ca="1" si="293"/>
        <v>1.2255039388556526</v>
      </c>
      <c r="W664" s="304">
        <f t="shared" ca="1" si="294"/>
        <v>59.190359965017826</v>
      </c>
      <c r="Y664" s="314" t="str">
        <f t="shared" ca="1" si="312"/>
        <v/>
      </c>
      <c r="Z664" s="315" t="str">
        <f t="shared" ca="1" si="313"/>
        <v/>
      </c>
      <c r="AA664" s="316" t="str">
        <f t="shared" ca="1" si="314"/>
        <v/>
      </c>
      <c r="AC664" s="310" t="e">
        <f t="shared" ca="1" si="315"/>
        <v>#N/A</v>
      </c>
      <c r="AD664" s="323" t="e">
        <f t="shared" ca="1" si="316"/>
        <v>#N/A</v>
      </c>
      <c r="AE664" s="324" t="e">
        <f t="shared" ca="1" si="295"/>
        <v>#N/A</v>
      </c>
      <c r="AG664" s="306">
        <f t="shared" ca="1" si="317"/>
        <v>2.3424145252145081</v>
      </c>
      <c r="AH664" s="304">
        <f t="shared" ca="1" si="318"/>
        <v>-7.4200901865138729</v>
      </c>
    </row>
    <row r="665" spans="1:34" x14ac:dyDescent="0.2">
      <c r="A665" s="347">
        <f t="shared" ca="1" si="296"/>
        <v>1E-4</v>
      </c>
      <c r="B665" s="304">
        <f t="shared" ca="1" si="297"/>
        <v>33.614500000000689</v>
      </c>
      <c r="D665" s="306">
        <f t="shared" ca="1" si="298"/>
        <v>-0.72926831106044787</v>
      </c>
      <c r="E665" s="307">
        <f t="shared" ca="1" si="299"/>
        <v>-2.4257962353937552</v>
      </c>
      <c r="F665" s="304">
        <f t="shared" ca="1" si="300"/>
        <v>2.5330455276539094</v>
      </c>
      <c r="G665" s="306">
        <f t="shared" ca="1" si="301"/>
        <v>11.88432738285711</v>
      </c>
      <c r="H665" s="307">
        <f t="shared" ca="1" si="302"/>
        <v>-120.33569686431319</v>
      </c>
      <c r="I665" s="304">
        <f t="shared" ca="1" si="303"/>
        <v>120.92111964897946</v>
      </c>
      <c r="J665" s="306">
        <f t="shared" ca="1" si="304"/>
        <v>755.70453742140728</v>
      </c>
      <c r="K665" s="307">
        <f t="shared" ca="1" si="305"/>
        <v>-4.1249741463230905</v>
      </c>
      <c r="L665" s="304">
        <f t="shared" ca="1" si="290"/>
        <v>755.71579531660643</v>
      </c>
      <c r="M665" s="306">
        <f t="shared" ca="1" si="306"/>
        <v>-1.4723557615077594</v>
      </c>
      <c r="N665" s="304">
        <f t="shared" ca="1" si="307"/>
        <v>-84.359771076165003</v>
      </c>
      <c r="P665" s="310">
        <f t="shared" ca="1" si="308"/>
        <v>23</v>
      </c>
      <c r="Q665" s="304">
        <f t="shared" ca="1" si="309"/>
        <v>0</v>
      </c>
      <c r="R665" s="306">
        <f t="shared" ca="1" si="310"/>
        <v>0</v>
      </c>
      <c r="S665" s="307">
        <f t="shared" ca="1" si="311"/>
        <v>7.9769999999999968</v>
      </c>
      <c r="T665" s="304">
        <f t="shared" ca="1" si="291"/>
        <v>78.254369999999966</v>
      </c>
      <c r="U665" s="311">
        <f t="shared" ca="1" si="292"/>
        <v>0</v>
      </c>
      <c r="V665" s="306">
        <f t="shared" ca="1" si="293"/>
        <v>1.2255054135738208</v>
      </c>
      <c r="W665" s="304">
        <f t="shared" ca="1" si="294"/>
        <v>59.190660509826714</v>
      </c>
      <c r="Y665" s="314" t="str">
        <f t="shared" ca="1" si="312"/>
        <v/>
      </c>
      <c r="Z665" s="315" t="str">
        <f t="shared" ca="1" si="313"/>
        <v/>
      </c>
      <c r="AA665" s="316" t="str">
        <f t="shared" ca="1" si="314"/>
        <v/>
      </c>
      <c r="AC665" s="310" t="e">
        <f t="shared" ca="1" si="315"/>
        <v>#N/A</v>
      </c>
      <c r="AD665" s="323" t="e">
        <f t="shared" ca="1" si="316"/>
        <v>#N/A</v>
      </c>
      <c r="AE665" s="324" t="e">
        <f t="shared" ca="1" si="295"/>
        <v>#N/A</v>
      </c>
      <c r="AG665" s="306">
        <f t="shared" ca="1" si="317"/>
        <v>2.3423776172598121</v>
      </c>
      <c r="AH665" s="304">
        <f t="shared" ca="1" si="318"/>
        <v>-7.4201278632340291</v>
      </c>
    </row>
    <row r="666" spans="1:34" x14ac:dyDescent="0.2">
      <c r="A666" s="347">
        <f t="shared" ca="1" si="296"/>
        <v>1E-4</v>
      </c>
      <c r="B666" s="304">
        <f t="shared" ca="1" si="297"/>
        <v>33.614600000000692</v>
      </c>
      <c r="D666" s="306">
        <f t="shared" ca="1" si="298"/>
        <v>-0.72926612625023912</v>
      </c>
      <c r="E666" s="307">
        <f t="shared" ca="1" si="299"/>
        <v>-2.4257581599066445</v>
      </c>
      <c r="F666" s="304">
        <f t="shared" ca="1" si="300"/>
        <v>2.5330084352898825</v>
      </c>
      <c r="G666" s="306">
        <f t="shared" ca="1" si="301"/>
        <v>11.884254456244486</v>
      </c>
      <c r="H666" s="307">
        <f t="shared" ca="1" si="302"/>
        <v>-120.33593944012918</v>
      </c>
      <c r="I666" s="304">
        <f t="shared" ca="1" si="303"/>
        <v>120.92135388308884</v>
      </c>
      <c r="J666" s="306">
        <f t="shared" ca="1" si="304"/>
        <v>755.70453742140728</v>
      </c>
      <c r="K666" s="307">
        <f t="shared" ca="1" si="305"/>
        <v>-4.1370077281383129</v>
      </c>
      <c r="L666" s="304">
        <f t="shared" ca="1" si="290"/>
        <v>755.71586109611724</v>
      </c>
      <c r="M666" s="306">
        <f t="shared" ca="1" si="306"/>
        <v>-1.4723565588383993</v>
      </c>
      <c r="N666" s="304">
        <f t="shared" ca="1" si="307"/>
        <v>-84.359816759845543</v>
      </c>
      <c r="P666" s="310">
        <f t="shared" ca="1" si="308"/>
        <v>23</v>
      </c>
      <c r="Q666" s="304">
        <f t="shared" ca="1" si="309"/>
        <v>0</v>
      </c>
      <c r="R666" s="306">
        <f t="shared" ca="1" si="310"/>
        <v>0</v>
      </c>
      <c r="S666" s="307">
        <f t="shared" ca="1" si="311"/>
        <v>7.9769999999999968</v>
      </c>
      <c r="T666" s="304">
        <f t="shared" ca="1" si="291"/>
        <v>78.254369999999966</v>
      </c>
      <c r="U666" s="311">
        <f t="shared" ca="1" si="292"/>
        <v>0</v>
      </c>
      <c r="V666" s="306">
        <f t="shared" ca="1" si="293"/>
        <v>1.2255068882967373</v>
      </c>
      <c r="W666" s="304">
        <f t="shared" ca="1" si="294"/>
        <v>59.190961052247758</v>
      </c>
      <c r="Y666" s="314" t="str">
        <f t="shared" ca="1" si="312"/>
        <v/>
      </c>
      <c r="Z666" s="315" t="str">
        <f t="shared" ca="1" si="313"/>
        <v/>
      </c>
      <c r="AA666" s="316" t="str">
        <f t="shared" ca="1" si="314"/>
        <v/>
      </c>
      <c r="AC666" s="310" t="e">
        <f t="shared" ca="1" si="315"/>
        <v>#N/A</v>
      </c>
      <c r="AD666" s="323" t="e">
        <f t="shared" ca="1" si="316"/>
        <v>#N/A</v>
      </c>
      <c r="AE666" s="324" t="e">
        <f t="shared" ca="1" si="295"/>
        <v>#N/A</v>
      </c>
      <c r="AG666" s="306">
        <f t="shared" ca="1" si="317"/>
        <v>2.3423407095905482</v>
      </c>
      <c r="AH666" s="304">
        <f t="shared" ca="1" si="318"/>
        <v>-7.4201655396548496</v>
      </c>
    </row>
    <row r="667" spans="1:34" x14ac:dyDescent="0.2">
      <c r="A667" s="347">
        <f t="shared" ca="1" si="296"/>
        <v>1E-4</v>
      </c>
      <c r="B667" s="304">
        <f t="shared" ca="1" si="297"/>
        <v>33.614700000000695</v>
      </c>
      <c r="D667" s="306">
        <f t="shared" ca="1" si="298"/>
        <v>-0.72926394140929485</v>
      </c>
      <c r="E667" s="307">
        <f t="shared" ca="1" si="299"/>
        <v>-2.4257200847220339</v>
      </c>
      <c r="F667" s="304">
        <f t="shared" ca="1" si="300"/>
        <v>2.5329713432377581</v>
      </c>
      <c r="G667" s="306">
        <f t="shared" ca="1" si="301"/>
        <v>11.884181529850345</v>
      </c>
      <c r="H667" s="307">
        <f t="shared" ca="1" si="302"/>
        <v>-120.33618201213766</v>
      </c>
      <c r="I667" s="304">
        <f t="shared" ca="1" si="303"/>
        <v>120.92158811350751</v>
      </c>
      <c r="J667" s="306">
        <f t="shared" ca="1" si="304"/>
        <v>755.70453742140728</v>
      </c>
      <c r="K667" s="307">
        <f t="shared" ca="1" si="305"/>
        <v>-4.149041334210926</v>
      </c>
      <c r="L667" s="304">
        <f t="shared" ca="1" si="290"/>
        <v>755.71592706737113</v>
      </c>
      <c r="M667" s="306">
        <f t="shared" ca="1" si="306"/>
        <v>-1.4723573561610575</v>
      </c>
      <c r="N667" s="304">
        <f t="shared" ca="1" si="307"/>
        <v>-84.359862443068764</v>
      </c>
      <c r="P667" s="310">
        <f t="shared" ca="1" si="308"/>
        <v>23</v>
      </c>
      <c r="Q667" s="304">
        <f t="shared" ca="1" si="309"/>
        <v>0</v>
      </c>
      <c r="R667" s="306">
        <f t="shared" ca="1" si="310"/>
        <v>0</v>
      </c>
      <c r="S667" s="307">
        <f t="shared" ca="1" si="311"/>
        <v>7.9769999999999968</v>
      </c>
      <c r="T667" s="304">
        <f t="shared" ca="1" si="291"/>
        <v>78.254369999999966</v>
      </c>
      <c r="U667" s="311">
        <f t="shared" ca="1" si="292"/>
        <v>0</v>
      </c>
      <c r="V667" s="306">
        <f t="shared" ca="1" si="293"/>
        <v>1.225508363024401</v>
      </c>
      <c r="W667" s="304">
        <f t="shared" ca="1" si="294"/>
        <v>59.191261592280959</v>
      </c>
      <c r="Y667" s="314" t="str">
        <f t="shared" ca="1" si="312"/>
        <v/>
      </c>
      <c r="Z667" s="315" t="str">
        <f t="shared" ca="1" si="313"/>
        <v/>
      </c>
      <c r="AA667" s="316" t="str">
        <f t="shared" ca="1" si="314"/>
        <v/>
      </c>
      <c r="AC667" s="310" t="e">
        <f t="shared" ca="1" si="315"/>
        <v>#N/A</v>
      </c>
      <c r="AD667" s="323" t="e">
        <f t="shared" ca="1" si="316"/>
        <v>#N/A</v>
      </c>
      <c r="AE667" s="324" t="e">
        <f t="shared" ca="1" si="295"/>
        <v>#N/A</v>
      </c>
      <c r="AG667" s="306">
        <f t="shared" ca="1" si="317"/>
        <v>2.3423038022067244</v>
      </c>
      <c r="AH667" s="304">
        <f t="shared" ca="1" si="318"/>
        <v>-7.42020321577633</v>
      </c>
    </row>
    <row r="668" spans="1:34" x14ac:dyDescent="0.2">
      <c r="A668" s="347">
        <f t="shared" ca="1" si="296"/>
        <v>1E-4</v>
      </c>
      <c r="B668" s="304">
        <f t="shared" ca="1" si="297"/>
        <v>33.614800000000699</v>
      </c>
      <c r="D668" s="306">
        <f t="shared" ca="1" si="298"/>
        <v>-0.72926175653761838</v>
      </c>
      <c r="E668" s="307">
        <f t="shared" ca="1" si="299"/>
        <v>-2.4256820098399272</v>
      </c>
      <c r="F668" s="304">
        <f t="shared" ca="1" si="300"/>
        <v>2.5329342514975397</v>
      </c>
      <c r="G668" s="306">
        <f t="shared" ca="1" si="301"/>
        <v>11.884108603674692</v>
      </c>
      <c r="H668" s="307">
        <f t="shared" ca="1" si="302"/>
        <v>-120.33642458033864</v>
      </c>
      <c r="I668" s="304">
        <f t="shared" ca="1" si="303"/>
        <v>120.92182234023545</v>
      </c>
      <c r="J668" s="306">
        <f t="shared" ca="1" si="304"/>
        <v>755.70453742140728</v>
      </c>
      <c r="K668" s="307">
        <f t="shared" ca="1" si="305"/>
        <v>-4.1610749645405498</v>
      </c>
      <c r="L668" s="304">
        <f t="shared" ca="1" si="290"/>
        <v>755.71599323036935</v>
      </c>
      <c r="M668" s="306">
        <f t="shared" ca="1" si="306"/>
        <v>-1.4723581534757342</v>
      </c>
      <c r="N668" s="304">
        <f t="shared" ca="1" si="307"/>
        <v>-84.359908125834693</v>
      </c>
      <c r="P668" s="310">
        <f t="shared" ca="1" si="308"/>
        <v>23</v>
      </c>
      <c r="Q668" s="304">
        <f t="shared" ca="1" si="309"/>
        <v>0</v>
      </c>
      <c r="R668" s="306">
        <f t="shared" ca="1" si="310"/>
        <v>0</v>
      </c>
      <c r="S668" s="307">
        <f t="shared" ca="1" si="311"/>
        <v>7.9769999999999968</v>
      </c>
      <c r="T668" s="304">
        <f t="shared" ca="1" si="291"/>
        <v>78.254369999999966</v>
      </c>
      <c r="U668" s="311">
        <f t="shared" ca="1" si="292"/>
        <v>0</v>
      </c>
      <c r="V668" s="306">
        <f t="shared" ca="1" si="293"/>
        <v>1.2255098377568125</v>
      </c>
      <c r="W668" s="304">
        <f t="shared" ca="1" si="294"/>
        <v>59.191562129926318</v>
      </c>
      <c r="Y668" s="314" t="str">
        <f t="shared" ca="1" si="312"/>
        <v/>
      </c>
      <c r="Z668" s="315" t="str">
        <f t="shared" ca="1" si="313"/>
        <v/>
      </c>
      <c r="AA668" s="316" t="str">
        <f t="shared" ca="1" si="314"/>
        <v/>
      </c>
      <c r="AC668" s="310" t="e">
        <f t="shared" ca="1" si="315"/>
        <v>#N/A</v>
      </c>
      <c r="AD668" s="323" t="e">
        <f t="shared" ca="1" si="316"/>
        <v>#N/A</v>
      </c>
      <c r="AE668" s="324" t="e">
        <f t="shared" ca="1" si="295"/>
        <v>#N/A</v>
      </c>
      <c r="AG668" s="306">
        <f t="shared" ca="1" si="317"/>
        <v>2.342266895108339</v>
      </c>
      <c r="AH668" s="304">
        <f t="shared" ca="1" si="318"/>
        <v>-7.4202408915984686</v>
      </c>
    </row>
    <row r="669" spans="1:34" x14ac:dyDescent="0.2">
      <c r="A669" s="347">
        <f t="shared" ca="1" si="296"/>
        <v>1E-4</v>
      </c>
      <c r="B669" s="304">
        <f t="shared" ca="1" si="297"/>
        <v>33.614900000000702</v>
      </c>
      <c r="D669" s="306">
        <f t="shared" ca="1" si="298"/>
        <v>-0.72925957163520794</v>
      </c>
      <c r="E669" s="307">
        <f t="shared" ca="1" si="299"/>
        <v>-2.4256439352603225</v>
      </c>
      <c r="F669" s="304">
        <f t="shared" ca="1" si="300"/>
        <v>2.5328971600692261</v>
      </c>
      <c r="G669" s="306">
        <f t="shared" ca="1" si="301"/>
        <v>11.884035677717529</v>
      </c>
      <c r="H669" s="307">
        <f t="shared" ca="1" si="302"/>
        <v>-120.33666714473217</v>
      </c>
      <c r="I669" s="304">
        <f t="shared" ca="1" si="303"/>
        <v>120.92205656327272</v>
      </c>
      <c r="J669" s="306">
        <f t="shared" ca="1" si="304"/>
        <v>755.70453742140728</v>
      </c>
      <c r="K669" s="307">
        <f t="shared" ca="1" si="305"/>
        <v>-4.1731086191268032</v>
      </c>
      <c r="L669" s="304">
        <f t="shared" ca="1" si="290"/>
        <v>755.71605958511304</v>
      </c>
      <c r="M669" s="306">
        <f t="shared" ca="1" si="306"/>
        <v>-1.4723589507824295</v>
      </c>
      <c r="N669" s="304">
        <f t="shared" ca="1" si="307"/>
        <v>-84.359953808143302</v>
      </c>
      <c r="P669" s="310">
        <f t="shared" ca="1" si="308"/>
        <v>23</v>
      </c>
      <c r="Q669" s="304">
        <f t="shared" ca="1" si="309"/>
        <v>0</v>
      </c>
      <c r="R669" s="306">
        <f t="shared" ca="1" si="310"/>
        <v>0</v>
      </c>
      <c r="S669" s="307">
        <f t="shared" ca="1" si="311"/>
        <v>7.9769999999999968</v>
      </c>
      <c r="T669" s="304">
        <f t="shared" ca="1" si="291"/>
        <v>78.254369999999966</v>
      </c>
      <c r="U669" s="311">
        <f t="shared" ca="1" si="292"/>
        <v>0</v>
      </c>
      <c r="V669" s="306">
        <f t="shared" ca="1" si="293"/>
        <v>1.2255113124939723</v>
      </c>
      <c r="W669" s="304">
        <f t="shared" ca="1" si="294"/>
        <v>59.191862665183876</v>
      </c>
      <c r="Y669" s="314" t="str">
        <f t="shared" ca="1" si="312"/>
        <v/>
      </c>
      <c r="Z669" s="315" t="str">
        <f t="shared" ca="1" si="313"/>
        <v/>
      </c>
      <c r="AA669" s="316" t="str">
        <f t="shared" ca="1" si="314"/>
        <v/>
      </c>
      <c r="AC669" s="310" t="e">
        <f t="shared" ca="1" si="315"/>
        <v>#N/A</v>
      </c>
      <c r="AD669" s="323" t="e">
        <f t="shared" ca="1" si="316"/>
        <v>#N/A</v>
      </c>
      <c r="AE669" s="324" t="e">
        <f t="shared" ca="1" si="295"/>
        <v>#N/A</v>
      </c>
      <c r="AG669" s="306">
        <f t="shared" ca="1" si="317"/>
        <v>2.3422299882953945</v>
      </c>
      <c r="AH669" s="304">
        <f t="shared" ca="1" si="318"/>
        <v>-7.4202785671212661</v>
      </c>
    </row>
    <row r="670" spans="1:34" x14ac:dyDescent="0.2">
      <c r="A670" s="347">
        <f t="shared" ca="1" si="296"/>
        <v>1E-4</v>
      </c>
      <c r="B670" s="304">
        <f t="shared" ca="1" si="297"/>
        <v>33.615000000000705</v>
      </c>
      <c r="D670" s="306">
        <f t="shared" ca="1" si="298"/>
        <v>-0.72925738670206586</v>
      </c>
      <c r="E670" s="307">
        <f t="shared" ca="1" si="299"/>
        <v>-2.4256058609832136</v>
      </c>
      <c r="F670" s="304">
        <f t="shared" ca="1" si="300"/>
        <v>2.5328600689528118</v>
      </c>
      <c r="G670" s="306">
        <f t="shared" ca="1" si="301"/>
        <v>11.883962751978858</v>
      </c>
      <c r="H670" s="307">
        <f t="shared" ca="1" si="302"/>
        <v>-120.33690970531828</v>
      </c>
      <c r="I670" s="304">
        <f t="shared" ca="1" si="303"/>
        <v>120.92229078261934</v>
      </c>
      <c r="J670" s="306">
        <f t="shared" ca="1" si="304"/>
        <v>755.70453742140728</v>
      </c>
      <c r="K670" s="307">
        <f t="shared" ca="1" si="305"/>
        <v>-4.185142297969306</v>
      </c>
      <c r="L670" s="304">
        <f t="shared" ca="1" si="290"/>
        <v>755.71612613160335</v>
      </c>
      <c r="M670" s="306">
        <f t="shared" ca="1" si="306"/>
        <v>-1.4723597480811434</v>
      </c>
      <c r="N670" s="304">
        <f t="shared" ca="1" si="307"/>
        <v>-84.359999489994635</v>
      </c>
      <c r="P670" s="310">
        <f t="shared" ca="1" si="308"/>
        <v>23</v>
      </c>
      <c r="Q670" s="304">
        <f t="shared" ca="1" si="309"/>
        <v>0</v>
      </c>
      <c r="R670" s="306">
        <f t="shared" ca="1" si="310"/>
        <v>0</v>
      </c>
      <c r="S670" s="307">
        <f t="shared" ca="1" si="311"/>
        <v>7.9769999999999968</v>
      </c>
      <c r="T670" s="304">
        <f t="shared" ca="1" si="291"/>
        <v>78.254369999999966</v>
      </c>
      <c r="U670" s="311">
        <f t="shared" ca="1" si="292"/>
        <v>0</v>
      </c>
      <c r="V670" s="306">
        <f t="shared" ca="1" si="293"/>
        <v>1.2255127872358791</v>
      </c>
      <c r="W670" s="304">
        <f t="shared" ca="1" si="294"/>
        <v>59.192163198053571</v>
      </c>
      <c r="Y670" s="314" t="str">
        <f t="shared" ca="1" si="312"/>
        <v/>
      </c>
      <c r="Z670" s="315" t="str">
        <f t="shared" ca="1" si="313"/>
        <v/>
      </c>
      <c r="AA670" s="316" t="str">
        <f t="shared" ca="1" si="314"/>
        <v/>
      </c>
      <c r="AC670" s="310" t="e">
        <f t="shared" ca="1" si="315"/>
        <v>#N/A</v>
      </c>
      <c r="AD670" s="323" t="e">
        <f t="shared" ca="1" si="316"/>
        <v>#N/A</v>
      </c>
      <c r="AE670" s="324" t="e">
        <f t="shared" ca="1" si="295"/>
        <v>#N/A</v>
      </c>
      <c r="AG670" s="306">
        <f t="shared" ca="1" si="317"/>
        <v>2.3421930817678849</v>
      </c>
      <c r="AH670" s="304">
        <f t="shared" ca="1" si="318"/>
        <v>-7.4203162423447289</v>
      </c>
    </row>
    <row r="671" spans="1:34" x14ac:dyDescent="0.2">
      <c r="A671" s="347">
        <f t="shared" ca="1" si="296"/>
        <v>1E-4</v>
      </c>
      <c r="B671" s="304">
        <f t="shared" ca="1" si="297"/>
        <v>33.615100000000709</v>
      </c>
      <c r="D671" s="306">
        <f t="shared" ca="1" si="298"/>
        <v>-0.7292552017381928</v>
      </c>
      <c r="E671" s="307">
        <f t="shared" ca="1" si="299"/>
        <v>-2.4255677870086112</v>
      </c>
      <c r="F671" s="304">
        <f t="shared" ca="1" si="300"/>
        <v>2.5328229781483076</v>
      </c>
      <c r="G671" s="306">
        <f t="shared" ca="1" si="301"/>
        <v>11.883889826458685</v>
      </c>
      <c r="H671" s="307">
        <f t="shared" ca="1" si="302"/>
        <v>-120.33715226209698</v>
      </c>
      <c r="I671" s="304">
        <f t="shared" ca="1" si="303"/>
        <v>120.92252499827532</v>
      </c>
      <c r="J671" s="306">
        <f t="shared" ca="1" si="304"/>
        <v>755.70453742140728</v>
      </c>
      <c r="K671" s="307">
        <f t="shared" ca="1" si="305"/>
        <v>-4.1971760010676764</v>
      </c>
      <c r="L671" s="304">
        <f t="shared" ca="1" si="290"/>
        <v>755.71619286984128</v>
      </c>
      <c r="M671" s="306">
        <f t="shared" ca="1" si="306"/>
        <v>-1.4723605453718764</v>
      </c>
      <c r="N671" s="304">
        <f t="shared" ca="1" si="307"/>
        <v>-84.360045171388677</v>
      </c>
      <c r="P671" s="310">
        <f t="shared" ca="1" si="308"/>
        <v>23</v>
      </c>
      <c r="Q671" s="304">
        <f t="shared" ca="1" si="309"/>
        <v>0</v>
      </c>
      <c r="R671" s="306">
        <f t="shared" ca="1" si="310"/>
        <v>0</v>
      </c>
      <c r="S671" s="307">
        <f t="shared" ca="1" si="311"/>
        <v>7.9769999999999968</v>
      </c>
      <c r="T671" s="304">
        <f t="shared" ca="1" si="291"/>
        <v>78.254369999999966</v>
      </c>
      <c r="U671" s="311">
        <f t="shared" ca="1" si="292"/>
        <v>0</v>
      </c>
      <c r="V671" s="306">
        <f t="shared" ca="1" si="293"/>
        <v>1.2255142619825334</v>
      </c>
      <c r="W671" s="304">
        <f t="shared" ca="1" si="294"/>
        <v>59.192463728535401</v>
      </c>
      <c r="Y671" s="314" t="str">
        <f t="shared" ca="1" si="312"/>
        <v/>
      </c>
      <c r="Z671" s="315" t="str">
        <f t="shared" ca="1" si="313"/>
        <v/>
      </c>
      <c r="AA671" s="316" t="str">
        <f t="shared" ca="1" si="314"/>
        <v/>
      </c>
      <c r="AC671" s="310" t="e">
        <f t="shared" ca="1" si="315"/>
        <v>#N/A</v>
      </c>
      <c r="AD671" s="323" t="e">
        <f t="shared" ca="1" si="316"/>
        <v>#N/A</v>
      </c>
      <c r="AE671" s="324" t="e">
        <f t="shared" ca="1" si="295"/>
        <v>#N/A</v>
      </c>
      <c r="AG671" s="306">
        <f t="shared" ca="1" si="317"/>
        <v>2.3421561755258145</v>
      </c>
      <c r="AH671" s="304">
        <f t="shared" ca="1" si="318"/>
        <v>-7.4203539172688471</v>
      </c>
    </row>
    <row r="672" spans="1:34" x14ac:dyDescent="0.2">
      <c r="A672" s="347">
        <f t="shared" ca="1" si="296"/>
        <v>1E-4</v>
      </c>
      <c r="B672" s="304">
        <f t="shared" ca="1" si="297"/>
        <v>33.615200000000712</v>
      </c>
      <c r="D672" s="306">
        <f t="shared" ca="1" si="298"/>
        <v>-0.72925301674358733</v>
      </c>
      <c r="E672" s="307">
        <f t="shared" ca="1" si="299"/>
        <v>-2.4255297133365117</v>
      </c>
      <c r="F672" s="304">
        <f t="shared" ca="1" si="300"/>
        <v>2.5327858876557103</v>
      </c>
      <c r="G672" s="306">
        <f t="shared" ca="1" si="301"/>
        <v>11.88381690115701</v>
      </c>
      <c r="H672" s="307">
        <f t="shared" ca="1" si="302"/>
        <v>-120.33739481506831</v>
      </c>
      <c r="I672" s="304">
        <f t="shared" ca="1" si="303"/>
        <v>120.92275921024071</v>
      </c>
      <c r="J672" s="306">
        <f t="shared" ca="1" si="304"/>
        <v>755.70453742140728</v>
      </c>
      <c r="K672" s="307">
        <f t="shared" ca="1" si="305"/>
        <v>-4.2092097284215351</v>
      </c>
      <c r="L672" s="304">
        <f t="shared" ca="1" si="290"/>
        <v>755.71625979982787</v>
      </c>
      <c r="M672" s="306">
        <f t="shared" ca="1" si="306"/>
        <v>-1.472361342654628</v>
      </c>
      <c r="N672" s="304">
        <f t="shared" ca="1" si="307"/>
        <v>-84.360090852325413</v>
      </c>
      <c r="P672" s="310">
        <f t="shared" ca="1" si="308"/>
        <v>23</v>
      </c>
      <c r="Q672" s="304">
        <f t="shared" ca="1" si="309"/>
        <v>0</v>
      </c>
      <c r="R672" s="306">
        <f t="shared" ca="1" si="310"/>
        <v>0</v>
      </c>
      <c r="S672" s="307">
        <f t="shared" ca="1" si="311"/>
        <v>7.9769999999999968</v>
      </c>
      <c r="T672" s="304">
        <f t="shared" ca="1" si="291"/>
        <v>78.254369999999966</v>
      </c>
      <c r="U672" s="311">
        <f t="shared" ca="1" si="292"/>
        <v>0</v>
      </c>
      <c r="V672" s="306">
        <f t="shared" ca="1" si="293"/>
        <v>1.2255157367339358</v>
      </c>
      <c r="W672" s="304">
        <f t="shared" ca="1" si="294"/>
        <v>59.192764256629403</v>
      </c>
      <c r="Y672" s="314" t="str">
        <f t="shared" ca="1" si="312"/>
        <v/>
      </c>
      <c r="Z672" s="315" t="str">
        <f t="shared" ca="1" si="313"/>
        <v/>
      </c>
      <c r="AA672" s="316" t="str">
        <f t="shared" ca="1" si="314"/>
        <v/>
      </c>
      <c r="AC672" s="310" t="e">
        <f t="shared" ca="1" si="315"/>
        <v>#N/A</v>
      </c>
      <c r="AD672" s="323" t="e">
        <f t="shared" ca="1" si="316"/>
        <v>#N/A</v>
      </c>
      <c r="AE672" s="324" t="e">
        <f t="shared" ca="1" si="295"/>
        <v>#N/A</v>
      </c>
      <c r="AG672" s="306">
        <f t="shared" ca="1" si="317"/>
        <v>2.3421192695691904</v>
      </c>
      <c r="AH672" s="304">
        <f t="shared" ca="1" si="318"/>
        <v>-7.4203915918936225</v>
      </c>
    </row>
    <row r="673" spans="1:34" x14ac:dyDescent="0.2">
      <c r="A673" s="347">
        <f t="shared" ca="1" si="296"/>
        <v>1E-4</v>
      </c>
      <c r="B673" s="304">
        <f t="shared" ca="1" si="297"/>
        <v>33.615300000000715</v>
      </c>
      <c r="D673" s="306">
        <f t="shared" ca="1" si="298"/>
        <v>-0.72925083171825444</v>
      </c>
      <c r="E673" s="307">
        <f t="shared" ca="1" si="299"/>
        <v>-2.4254916399669142</v>
      </c>
      <c r="F673" s="304">
        <f t="shared" ca="1" si="300"/>
        <v>2.5327487974750191</v>
      </c>
      <c r="G673" s="306">
        <f t="shared" ca="1" si="301"/>
        <v>11.883743976073838</v>
      </c>
      <c r="H673" s="307">
        <f t="shared" ca="1" si="302"/>
        <v>-120.33763736423231</v>
      </c>
      <c r="I673" s="304">
        <f t="shared" ca="1" si="303"/>
        <v>120.92299341851553</v>
      </c>
      <c r="J673" s="306">
        <f t="shared" ca="1" si="304"/>
        <v>755.70453742140728</v>
      </c>
      <c r="K673" s="307">
        <f t="shared" ca="1" si="305"/>
        <v>-4.2212434800305001</v>
      </c>
      <c r="L673" s="304">
        <f t="shared" ca="1" si="290"/>
        <v>755.71632692156447</v>
      </c>
      <c r="M673" s="306">
        <f t="shared" ca="1" si="306"/>
        <v>-1.4723621399293989</v>
      </c>
      <c r="N673" s="304">
        <f t="shared" ca="1" si="307"/>
        <v>-84.360136532804901</v>
      </c>
      <c r="P673" s="310">
        <f t="shared" ca="1" si="308"/>
        <v>23</v>
      </c>
      <c r="Q673" s="304">
        <f t="shared" ca="1" si="309"/>
        <v>0</v>
      </c>
      <c r="R673" s="306">
        <f t="shared" ca="1" si="310"/>
        <v>0</v>
      </c>
      <c r="S673" s="307">
        <f t="shared" ca="1" si="311"/>
        <v>7.9769999999999968</v>
      </c>
      <c r="T673" s="304">
        <f t="shared" ca="1" si="291"/>
        <v>78.254369999999966</v>
      </c>
      <c r="U673" s="311">
        <f t="shared" ca="1" si="292"/>
        <v>0</v>
      </c>
      <c r="V673" s="306">
        <f t="shared" ca="1" si="293"/>
        <v>1.2255172114900854</v>
      </c>
      <c r="W673" s="304">
        <f t="shared" ca="1" si="294"/>
        <v>59.193064782335533</v>
      </c>
      <c r="Y673" s="314" t="str">
        <f t="shared" ca="1" si="312"/>
        <v/>
      </c>
      <c r="Z673" s="315" t="str">
        <f t="shared" ca="1" si="313"/>
        <v/>
      </c>
      <c r="AA673" s="316" t="str">
        <f t="shared" ca="1" si="314"/>
        <v/>
      </c>
      <c r="AC673" s="310" t="e">
        <f t="shared" ca="1" si="315"/>
        <v>#N/A</v>
      </c>
      <c r="AD673" s="323" t="e">
        <f t="shared" ca="1" si="316"/>
        <v>#N/A</v>
      </c>
      <c r="AE673" s="324" t="e">
        <f t="shared" ca="1" si="295"/>
        <v>#N/A</v>
      </c>
      <c r="AG673" s="306">
        <f t="shared" ca="1" si="317"/>
        <v>2.3420823638980046</v>
      </c>
      <c r="AH673" s="304">
        <f t="shared" ca="1" si="318"/>
        <v>-7.4204292662190579</v>
      </c>
    </row>
    <row r="674" spans="1:34" x14ac:dyDescent="0.2">
      <c r="A674" s="347">
        <f t="shared" ca="1" si="296"/>
        <v>1E-4</v>
      </c>
      <c r="B674" s="304">
        <f t="shared" ca="1" si="297"/>
        <v>33.615400000000719</v>
      </c>
      <c r="D674" s="306">
        <f t="shared" ca="1" si="298"/>
        <v>-0.72924864666219069</v>
      </c>
      <c r="E674" s="307">
        <f t="shared" ca="1" si="299"/>
        <v>-2.4254535668998214</v>
      </c>
      <c r="F674" s="304">
        <f t="shared" ca="1" si="300"/>
        <v>2.5327117076062375</v>
      </c>
      <c r="G674" s="306">
        <f t="shared" ca="1" si="301"/>
        <v>11.883671051209172</v>
      </c>
      <c r="H674" s="307">
        <f t="shared" ca="1" si="302"/>
        <v>-120.33787990958899</v>
      </c>
      <c r="I674" s="304">
        <f t="shared" ca="1" si="303"/>
        <v>120.92322762309981</v>
      </c>
      <c r="J674" s="306">
        <f t="shared" ca="1" si="304"/>
        <v>755.70453742140728</v>
      </c>
      <c r="K674" s="307">
        <f t="shared" ca="1" si="305"/>
        <v>-4.2332772558941913</v>
      </c>
      <c r="L674" s="304">
        <f t="shared" ca="1" si="290"/>
        <v>755.71639423505189</v>
      </c>
      <c r="M674" s="306">
        <f t="shared" ca="1" si="306"/>
        <v>-1.472362937196189</v>
      </c>
      <c r="N674" s="304">
        <f t="shared" ca="1" si="307"/>
        <v>-84.360182212827127</v>
      </c>
      <c r="P674" s="310">
        <f t="shared" ca="1" si="308"/>
        <v>23</v>
      </c>
      <c r="Q674" s="304">
        <f t="shared" ca="1" si="309"/>
        <v>0</v>
      </c>
      <c r="R674" s="306">
        <f t="shared" ca="1" si="310"/>
        <v>0</v>
      </c>
      <c r="S674" s="307">
        <f t="shared" ca="1" si="311"/>
        <v>7.9769999999999968</v>
      </c>
      <c r="T674" s="304">
        <f t="shared" ca="1" si="291"/>
        <v>78.254369999999966</v>
      </c>
      <c r="U674" s="311">
        <f t="shared" ca="1" si="292"/>
        <v>0</v>
      </c>
      <c r="V674" s="306">
        <f t="shared" ca="1" si="293"/>
        <v>1.2255186862509828</v>
      </c>
      <c r="W674" s="304">
        <f t="shared" ca="1" si="294"/>
        <v>59.19336530565382</v>
      </c>
      <c r="Y674" s="314" t="str">
        <f t="shared" ca="1" si="312"/>
        <v/>
      </c>
      <c r="Z674" s="315" t="str">
        <f t="shared" ca="1" si="313"/>
        <v/>
      </c>
      <c r="AA674" s="316" t="str">
        <f t="shared" ca="1" si="314"/>
        <v/>
      </c>
      <c r="AC674" s="310" t="e">
        <f t="shared" ca="1" si="315"/>
        <v>#N/A</v>
      </c>
      <c r="AD674" s="323" t="e">
        <f t="shared" ca="1" si="316"/>
        <v>#N/A</v>
      </c>
      <c r="AE674" s="324" t="e">
        <f t="shared" ca="1" si="295"/>
        <v>#N/A</v>
      </c>
      <c r="AG674" s="306">
        <f t="shared" ca="1" si="317"/>
        <v>2.3420454585122625</v>
      </c>
      <c r="AH674" s="304">
        <f t="shared" ca="1" si="318"/>
        <v>-7.4204669402451495</v>
      </c>
    </row>
    <row r="675" spans="1:34" x14ac:dyDescent="0.2">
      <c r="A675" s="347">
        <f t="shared" ca="1" si="296"/>
        <v>1E-4</v>
      </c>
      <c r="B675" s="304">
        <f t="shared" ca="1" si="297"/>
        <v>33.615500000000722</v>
      </c>
      <c r="D675" s="306">
        <f t="shared" ca="1" si="298"/>
        <v>-0.72924646157539774</v>
      </c>
      <c r="E675" s="307">
        <f t="shared" ca="1" si="299"/>
        <v>-2.4254154941352315</v>
      </c>
      <c r="F675" s="304">
        <f t="shared" ca="1" si="300"/>
        <v>2.5326746180493629</v>
      </c>
      <c r="G675" s="306">
        <f t="shared" ca="1" si="301"/>
        <v>11.883598126563014</v>
      </c>
      <c r="H675" s="307">
        <f t="shared" ca="1" si="302"/>
        <v>-120.3381224511384</v>
      </c>
      <c r="I675" s="304">
        <f t="shared" ca="1" si="303"/>
        <v>120.92346182399358</v>
      </c>
      <c r="J675" s="306">
        <f t="shared" ca="1" si="304"/>
        <v>755.70453742140728</v>
      </c>
      <c r="K675" s="307">
        <f t="shared" ca="1" si="305"/>
        <v>-4.2453110560122278</v>
      </c>
      <c r="L675" s="304">
        <f t="shared" ca="1" si="290"/>
        <v>755.71646174029149</v>
      </c>
      <c r="M675" s="306">
        <f t="shared" ca="1" si="306"/>
        <v>-1.4723637344549982</v>
      </c>
      <c r="N675" s="304">
        <f t="shared" ca="1" si="307"/>
        <v>-84.360227892392075</v>
      </c>
      <c r="P675" s="310">
        <f t="shared" ca="1" si="308"/>
        <v>23</v>
      </c>
      <c r="Q675" s="304">
        <f t="shared" ca="1" si="309"/>
        <v>0</v>
      </c>
      <c r="R675" s="306">
        <f t="shared" ca="1" si="310"/>
        <v>0</v>
      </c>
      <c r="S675" s="307">
        <f t="shared" ca="1" si="311"/>
        <v>7.9769999999999968</v>
      </c>
      <c r="T675" s="304">
        <f t="shared" ca="1" si="291"/>
        <v>78.254369999999966</v>
      </c>
      <c r="U675" s="311">
        <f t="shared" ca="1" si="292"/>
        <v>0</v>
      </c>
      <c r="V675" s="306">
        <f t="shared" ca="1" si="293"/>
        <v>1.2255201610166273</v>
      </c>
      <c r="W675" s="304">
        <f t="shared" ca="1" si="294"/>
        <v>59.193665826584244</v>
      </c>
      <c r="Y675" s="314" t="str">
        <f t="shared" ca="1" si="312"/>
        <v/>
      </c>
      <c r="Z675" s="315" t="str">
        <f t="shared" ca="1" si="313"/>
        <v/>
      </c>
      <c r="AA675" s="316" t="str">
        <f t="shared" ca="1" si="314"/>
        <v/>
      </c>
      <c r="AC675" s="310" t="e">
        <f t="shared" ca="1" si="315"/>
        <v>#N/A</v>
      </c>
      <c r="AD675" s="323" t="e">
        <f t="shared" ca="1" si="316"/>
        <v>#N/A</v>
      </c>
      <c r="AE675" s="324" t="e">
        <f t="shared" ca="1" si="295"/>
        <v>#N/A</v>
      </c>
      <c r="AG675" s="306">
        <f t="shared" ca="1" si="317"/>
        <v>2.3420085534119632</v>
      </c>
      <c r="AH675" s="304">
        <f t="shared" ca="1" si="318"/>
        <v>-7.4205046139719002</v>
      </c>
    </row>
    <row r="676" spans="1:34" x14ac:dyDescent="0.2">
      <c r="A676" s="347">
        <f t="shared" ca="1" si="296"/>
        <v>1E-4</v>
      </c>
      <c r="B676" s="304">
        <f t="shared" ca="1" si="297"/>
        <v>33.615600000000725</v>
      </c>
      <c r="D676" s="306">
        <f t="shared" ca="1" si="298"/>
        <v>-0.7292442764578787</v>
      </c>
      <c r="E676" s="307">
        <f t="shared" ca="1" si="299"/>
        <v>-2.4253774216731463</v>
      </c>
      <c r="F676" s="304">
        <f t="shared" ca="1" si="300"/>
        <v>2.5326375288043992</v>
      </c>
      <c r="G676" s="306">
        <f t="shared" ca="1" si="301"/>
        <v>11.883525202135369</v>
      </c>
      <c r="H676" s="307">
        <f t="shared" ca="1" si="302"/>
        <v>-120.33836498888057</v>
      </c>
      <c r="I676" s="304">
        <f t="shared" ca="1" si="303"/>
        <v>120.92369602119687</v>
      </c>
      <c r="J676" s="306">
        <f t="shared" ca="1" si="304"/>
        <v>755.70453742140728</v>
      </c>
      <c r="K676" s="307">
        <f t="shared" ca="1" si="305"/>
        <v>-4.2573448803842284</v>
      </c>
      <c r="L676" s="304">
        <f t="shared" ca="1" si="290"/>
        <v>755.71652943728418</v>
      </c>
      <c r="M676" s="306">
        <f t="shared" ca="1" si="306"/>
        <v>-1.4723645317058272</v>
      </c>
      <c r="N676" s="304">
        <f t="shared" ca="1" si="307"/>
        <v>-84.360273571499775</v>
      </c>
      <c r="P676" s="310">
        <f t="shared" ca="1" si="308"/>
        <v>23</v>
      </c>
      <c r="Q676" s="304">
        <f t="shared" ca="1" si="309"/>
        <v>0</v>
      </c>
      <c r="R676" s="306">
        <f t="shared" ca="1" si="310"/>
        <v>0</v>
      </c>
      <c r="S676" s="307">
        <f t="shared" ca="1" si="311"/>
        <v>7.9769999999999968</v>
      </c>
      <c r="T676" s="304">
        <f t="shared" ca="1" si="291"/>
        <v>78.254369999999966</v>
      </c>
      <c r="U676" s="311">
        <f t="shared" ca="1" si="292"/>
        <v>0</v>
      </c>
      <c r="V676" s="306">
        <f t="shared" ca="1" si="293"/>
        <v>1.2255216357870196</v>
      </c>
      <c r="W676" s="304">
        <f t="shared" ca="1" si="294"/>
        <v>59.193966345126817</v>
      </c>
      <c r="Y676" s="314" t="str">
        <f t="shared" ca="1" si="312"/>
        <v/>
      </c>
      <c r="Z676" s="315" t="str">
        <f t="shared" ca="1" si="313"/>
        <v/>
      </c>
      <c r="AA676" s="316" t="str">
        <f t="shared" ca="1" si="314"/>
        <v/>
      </c>
      <c r="AC676" s="310" t="e">
        <f t="shared" ca="1" si="315"/>
        <v>#N/A</v>
      </c>
      <c r="AD676" s="323" t="e">
        <f t="shared" ca="1" si="316"/>
        <v>#N/A</v>
      </c>
      <c r="AE676" s="324" t="e">
        <f t="shared" ca="1" si="295"/>
        <v>#N/A</v>
      </c>
      <c r="AG676" s="306">
        <f t="shared" ca="1" si="317"/>
        <v>2.3419716485971067</v>
      </c>
      <c r="AH676" s="304">
        <f t="shared" ca="1" si="318"/>
        <v>-7.4205422873993063</v>
      </c>
    </row>
    <row r="677" spans="1:34" x14ac:dyDescent="0.2">
      <c r="A677" s="347">
        <f t="shared" ca="1" si="296"/>
        <v>1E-4</v>
      </c>
      <c r="B677" s="304">
        <f t="shared" ca="1" si="297"/>
        <v>33.615700000000729</v>
      </c>
      <c r="D677" s="306">
        <f t="shared" ca="1" si="298"/>
        <v>-0.72924209130963036</v>
      </c>
      <c r="E677" s="307">
        <f t="shared" ca="1" si="299"/>
        <v>-2.425339349513564</v>
      </c>
      <c r="F677" s="304">
        <f t="shared" ca="1" si="300"/>
        <v>2.5326004398713433</v>
      </c>
      <c r="G677" s="306">
        <f t="shared" ca="1" si="301"/>
        <v>11.883452277926237</v>
      </c>
      <c r="H677" s="307">
        <f t="shared" ca="1" si="302"/>
        <v>-120.33860752281552</v>
      </c>
      <c r="I677" s="304">
        <f t="shared" ca="1" si="303"/>
        <v>120.9239302147097</v>
      </c>
      <c r="J677" s="306">
        <f t="shared" ca="1" si="304"/>
        <v>755.70453742140728</v>
      </c>
      <c r="K677" s="307">
        <f t="shared" ca="1" si="305"/>
        <v>-4.2693787290098131</v>
      </c>
      <c r="L677" s="304">
        <f t="shared" ca="1" si="290"/>
        <v>755.71659732603121</v>
      </c>
      <c r="M677" s="306">
        <f t="shared" ca="1" si="306"/>
        <v>-1.4723653289486753</v>
      </c>
      <c r="N677" s="304">
        <f t="shared" ca="1" si="307"/>
        <v>-84.360319250150226</v>
      </c>
      <c r="P677" s="310">
        <f t="shared" ca="1" si="308"/>
        <v>23</v>
      </c>
      <c r="Q677" s="304">
        <f t="shared" ca="1" si="309"/>
        <v>0</v>
      </c>
      <c r="R677" s="306">
        <f t="shared" ca="1" si="310"/>
        <v>0</v>
      </c>
      <c r="S677" s="307">
        <f t="shared" ca="1" si="311"/>
        <v>7.9769999999999968</v>
      </c>
      <c r="T677" s="304">
        <f t="shared" ca="1" si="291"/>
        <v>78.254369999999966</v>
      </c>
      <c r="U677" s="311">
        <f t="shared" ca="1" si="292"/>
        <v>0</v>
      </c>
      <c r="V677" s="306">
        <f t="shared" ca="1" si="293"/>
        <v>1.2255231105621589</v>
      </c>
      <c r="W677" s="304">
        <f t="shared" ca="1" si="294"/>
        <v>59.194266861281491</v>
      </c>
      <c r="Y677" s="314" t="str">
        <f t="shared" ca="1" si="312"/>
        <v/>
      </c>
      <c r="Z677" s="315" t="str">
        <f t="shared" ca="1" si="313"/>
        <v/>
      </c>
      <c r="AA677" s="316" t="str">
        <f t="shared" ca="1" si="314"/>
        <v/>
      </c>
      <c r="AC677" s="310" t="e">
        <f t="shared" ca="1" si="315"/>
        <v>#N/A</v>
      </c>
      <c r="AD677" s="323" t="e">
        <f t="shared" ca="1" si="316"/>
        <v>#N/A</v>
      </c>
      <c r="AE677" s="324" t="e">
        <f t="shared" ca="1" si="295"/>
        <v>#N/A</v>
      </c>
      <c r="AG677" s="306">
        <f t="shared" ca="1" si="317"/>
        <v>2.3419347440676948</v>
      </c>
      <c r="AH677" s="304">
        <f t="shared" ca="1" si="318"/>
        <v>-7.4205799605273715</v>
      </c>
    </row>
    <row r="678" spans="1:34" x14ac:dyDescent="0.2">
      <c r="A678" s="347">
        <f t="shared" ca="1" si="296"/>
        <v>1E-4</v>
      </c>
      <c r="B678" s="304">
        <f t="shared" ca="1" si="297"/>
        <v>33.615800000000732</v>
      </c>
      <c r="D678" s="306">
        <f t="shared" ca="1" si="298"/>
        <v>-0.72923990613065737</v>
      </c>
      <c r="E678" s="307">
        <f t="shared" ca="1" si="299"/>
        <v>-2.4253012776564908</v>
      </c>
      <c r="F678" s="304">
        <f t="shared" ca="1" si="300"/>
        <v>2.5325633512502024</v>
      </c>
      <c r="G678" s="306">
        <f t="shared" ca="1" si="301"/>
        <v>11.883379353935624</v>
      </c>
      <c r="H678" s="307">
        <f t="shared" ca="1" si="302"/>
        <v>-120.33885005294329</v>
      </c>
      <c r="I678" s="304">
        <f t="shared" ca="1" si="303"/>
        <v>120.92416440453212</v>
      </c>
      <c r="J678" s="306">
        <f t="shared" ca="1" si="304"/>
        <v>755.70453742140728</v>
      </c>
      <c r="K678" s="307">
        <f t="shared" ca="1" si="305"/>
        <v>-4.2814126018886007</v>
      </c>
      <c r="L678" s="304">
        <f t="shared" ca="1" si="290"/>
        <v>755.71666540653371</v>
      </c>
      <c r="M678" s="306">
        <f t="shared" ca="1" si="306"/>
        <v>-1.4723661261835432</v>
      </c>
      <c r="N678" s="304">
        <f t="shared" ca="1" si="307"/>
        <v>-84.360364928343444</v>
      </c>
      <c r="P678" s="310">
        <f t="shared" ca="1" si="308"/>
        <v>23</v>
      </c>
      <c r="Q678" s="304">
        <f t="shared" ca="1" si="309"/>
        <v>0</v>
      </c>
      <c r="R678" s="306">
        <f t="shared" ca="1" si="310"/>
        <v>0</v>
      </c>
      <c r="S678" s="307">
        <f t="shared" ca="1" si="311"/>
        <v>7.9769999999999968</v>
      </c>
      <c r="T678" s="304">
        <f t="shared" ca="1" si="291"/>
        <v>78.254369999999966</v>
      </c>
      <c r="U678" s="311">
        <f t="shared" ca="1" si="292"/>
        <v>0</v>
      </c>
      <c r="V678" s="306">
        <f t="shared" ca="1" si="293"/>
        <v>1.2255245853420462</v>
      </c>
      <c r="W678" s="304">
        <f t="shared" ca="1" si="294"/>
        <v>59.194567375048344</v>
      </c>
      <c r="Y678" s="314" t="str">
        <f t="shared" ca="1" si="312"/>
        <v/>
      </c>
      <c r="Z678" s="315" t="str">
        <f t="shared" ca="1" si="313"/>
        <v/>
      </c>
      <c r="AA678" s="316" t="str">
        <f t="shared" ca="1" si="314"/>
        <v/>
      </c>
      <c r="AC678" s="310" t="e">
        <f t="shared" ca="1" si="315"/>
        <v>#N/A</v>
      </c>
      <c r="AD678" s="323" t="e">
        <f t="shared" ca="1" si="316"/>
        <v>#N/A</v>
      </c>
      <c r="AE678" s="324" t="e">
        <f t="shared" ca="1" si="295"/>
        <v>#N/A</v>
      </c>
      <c r="AG678" s="306">
        <f t="shared" ca="1" si="317"/>
        <v>2.3418978398237327</v>
      </c>
      <c r="AH678" s="304">
        <f t="shared" ca="1" si="318"/>
        <v>-7.4206176333560885</v>
      </c>
    </row>
    <row r="679" spans="1:34" x14ac:dyDescent="0.2">
      <c r="A679" s="347">
        <f t="shared" ca="1" si="296"/>
        <v>1E-4</v>
      </c>
      <c r="B679" s="304">
        <f t="shared" ca="1" si="297"/>
        <v>33.615900000000735</v>
      </c>
      <c r="D679" s="306">
        <f t="shared" ca="1" si="298"/>
        <v>-0.72923772092095851</v>
      </c>
      <c r="E679" s="307">
        <f t="shared" ca="1" si="299"/>
        <v>-2.4252632061019179</v>
      </c>
      <c r="F679" s="304">
        <f t="shared" ca="1" si="300"/>
        <v>2.5325262629409684</v>
      </c>
      <c r="G679" s="306">
        <f t="shared" ca="1" si="301"/>
        <v>11.883306430163531</v>
      </c>
      <c r="H679" s="307">
        <f t="shared" ca="1" si="302"/>
        <v>-120.33909257926389</v>
      </c>
      <c r="I679" s="304">
        <f t="shared" ca="1" si="303"/>
        <v>120.92439859066413</v>
      </c>
      <c r="J679" s="306">
        <f t="shared" ca="1" si="304"/>
        <v>755.70453742140728</v>
      </c>
      <c r="K679" s="307">
        <f t="shared" ca="1" si="305"/>
        <v>-4.2934464990202112</v>
      </c>
      <c r="L679" s="304">
        <f t="shared" ca="1" si="290"/>
        <v>755.71673367879259</v>
      </c>
      <c r="M679" s="306">
        <f t="shared" ca="1" si="306"/>
        <v>-1.4723669234104311</v>
      </c>
      <c r="N679" s="304">
        <f t="shared" ca="1" si="307"/>
        <v>-84.360410606079427</v>
      </c>
      <c r="P679" s="310">
        <f t="shared" ca="1" si="308"/>
        <v>23</v>
      </c>
      <c r="Q679" s="304">
        <f t="shared" ca="1" si="309"/>
        <v>0</v>
      </c>
      <c r="R679" s="306">
        <f t="shared" ca="1" si="310"/>
        <v>0</v>
      </c>
      <c r="S679" s="307">
        <f t="shared" ca="1" si="311"/>
        <v>7.9769999999999968</v>
      </c>
      <c r="T679" s="304">
        <f t="shared" ca="1" si="291"/>
        <v>78.254369999999966</v>
      </c>
      <c r="U679" s="311">
        <f t="shared" ca="1" si="292"/>
        <v>0</v>
      </c>
      <c r="V679" s="306">
        <f t="shared" ca="1" si="293"/>
        <v>1.2255260601266806</v>
      </c>
      <c r="W679" s="304">
        <f t="shared" ca="1" si="294"/>
        <v>59.194867886427289</v>
      </c>
      <c r="Y679" s="314" t="str">
        <f t="shared" ca="1" si="312"/>
        <v/>
      </c>
      <c r="Z679" s="315" t="str">
        <f t="shared" ca="1" si="313"/>
        <v/>
      </c>
      <c r="AA679" s="316" t="str">
        <f t="shared" ca="1" si="314"/>
        <v/>
      </c>
      <c r="AC679" s="310" t="e">
        <f t="shared" ca="1" si="315"/>
        <v>#N/A</v>
      </c>
      <c r="AD679" s="323" t="e">
        <f t="shared" ca="1" si="316"/>
        <v>#N/A</v>
      </c>
      <c r="AE679" s="324" t="e">
        <f t="shared" ca="1" si="295"/>
        <v>#N/A</v>
      </c>
      <c r="AG679" s="306">
        <f t="shared" ca="1" si="317"/>
        <v>2.341860935865208</v>
      </c>
      <c r="AH679" s="304">
        <f t="shared" ca="1" si="318"/>
        <v>-7.4206553058854663</v>
      </c>
    </row>
    <row r="680" spans="1:34" x14ac:dyDescent="0.2">
      <c r="A680" s="347">
        <f t="shared" ca="1" si="296"/>
        <v>1E-4</v>
      </c>
      <c r="B680" s="304">
        <f t="shared" ca="1" si="297"/>
        <v>33.616000000000739</v>
      </c>
      <c r="D680" s="306">
        <f t="shared" ca="1" si="298"/>
        <v>-0.72923553568053301</v>
      </c>
      <c r="E680" s="307">
        <f t="shared" ca="1" si="299"/>
        <v>-2.425225134849855</v>
      </c>
      <c r="F680" s="304">
        <f t="shared" ca="1" si="300"/>
        <v>2.5324891749436507</v>
      </c>
      <c r="G680" s="306">
        <f t="shared" ca="1" si="301"/>
        <v>11.883233506609963</v>
      </c>
      <c r="H680" s="307">
        <f t="shared" ca="1" si="302"/>
        <v>-120.33933510177738</v>
      </c>
      <c r="I680" s="304">
        <f t="shared" ca="1" si="303"/>
        <v>120.92463277310577</v>
      </c>
      <c r="J680" s="306">
        <f t="shared" ca="1" si="304"/>
        <v>755.70453742140728</v>
      </c>
      <c r="K680" s="307">
        <f t="shared" ca="1" si="305"/>
        <v>-4.3054804204042636</v>
      </c>
      <c r="L680" s="304">
        <f t="shared" ca="1" si="290"/>
        <v>755.71680214280912</v>
      </c>
      <c r="M680" s="306">
        <f t="shared" ca="1" si="306"/>
        <v>-1.4723677206293386</v>
      </c>
      <c r="N680" s="304">
        <f t="shared" ca="1" si="307"/>
        <v>-84.360456283358175</v>
      </c>
      <c r="P680" s="310">
        <f t="shared" ca="1" si="308"/>
        <v>23</v>
      </c>
      <c r="Q680" s="304">
        <f t="shared" ca="1" si="309"/>
        <v>0</v>
      </c>
      <c r="R680" s="306">
        <f t="shared" ca="1" si="310"/>
        <v>0</v>
      </c>
      <c r="S680" s="307">
        <f t="shared" ca="1" si="311"/>
        <v>7.9769999999999968</v>
      </c>
      <c r="T680" s="304">
        <f t="shared" ca="1" si="291"/>
        <v>78.254369999999966</v>
      </c>
      <c r="U680" s="311">
        <f t="shared" ca="1" si="292"/>
        <v>0</v>
      </c>
      <c r="V680" s="306">
        <f t="shared" ca="1" si="293"/>
        <v>1.2255275349160621</v>
      </c>
      <c r="W680" s="304">
        <f t="shared" ca="1" si="294"/>
        <v>59.195168395418357</v>
      </c>
      <c r="Y680" s="314" t="str">
        <f t="shared" ca="1" si="312"/>
        <v/>
      </c>
      <c r="Z680" s="315" t="str">
        <f t="shared" ca="1" si="313"/>
        <v/>
      </c>
      <c r="AA680" s="316" t="str">
        <f t="shared" ca="1" si="314"/>
        <v/>
      </c>
      <c r="AC680" s="310" t="e">
        <f t="shared" ca="1" si="315"/>
        <v>#N/A</v>
      </c>
      <c r="AD680" s="323" t="e">
        <f t="shared" ca="1" si="316"/>
        <v>#N/A</v>
      </c>
      <c r="AE680" s="324" t="e">
        <f t="shared" ca="1" si="295"/>
        <v>#N/A</v>
      </c>
      <c r="AG680" s="306">
        <f t="shared" ca="1" si="317"/>
        <v>2.3418240321921351</v>
      </c>
      <c r="AH680" s="304">
        <f t="shared" ca="1" si="318"/>
        <v>-7.420692978115496</v>
      </c>
    </row>
    <row r="681" spans="1:34" x14ac:dyDescent="0.2">
      <c r="A681" s="347">
        <f t="shared" ca="1" si="296"/>
        <v>1E-4</v>
      </c>
      <c r="B681" s="304">
        <f t="shared" ca="1" si="297"/>
        <v>33.616100000000742</v>
      </c>
      <c r="D681" s="306">
        <f t="shared" ca="1" si="298"/>
        <v>-0.72923335040938464</v>
      </c>
      <c r="E681" s="307">
        <f t="shared" ca="1" si="299"/>
        <v>-2.4251870639002986</v>
      </c>
      <c r="F681" s="304">
        <f t="shared" ca="1" si="300"/>
        <v>2.5324520872582461</v>
      </c>
      <c r="G681" s="306">
        <f t="shared" ca="1" si="301"/>
        <v>11.883160583274922</v>
      </c>
      <c r="H681" s="307">
        <f t="shared" ca="1" si="302"/>
        <v>-120.33957762048377</v>
      </c>
      <c r="I681" s="304">
        <f t="shared" ca="1" si="303"/>
        <v>120.92486695185708</v>
      </c>
      <c r="J681" s="306">
        <f t="shared" ca="1" si="304"/>
        <v>755.70453742140728</v>
      </c>
      <c r="K681" s="307">
        <f t="shared" ca="1" si="305"/>
        <v>-4.3175143660403767</v>
      </c>
      <c r="L681" s="304">
        <f t="shared" ca="1" si="290"/>
        <v>755.7168707985843</v>
      </c>
      <c r="M681" s="306">
        <f t="shared" ca="1" si="306"/>
        <v>-1.4723685178402663</v>
      </c>
      <c r="N681" s="304">
        <f t="shared" ca="1" si="307"/>
        <v>-84.360501960179718</v>
      </c>
      <c r="P681" s="310">
        <f t="shared" ca="1" si="308"/>
        <v>23</v>
      </c>
      <c r="Q681" s="304">
        <f t="shared" ca="1" si="309"/>
        <v>0</v>
      </c>
      <c r="R681" s="306">
        <f t="shared" ca="1" si="310"/>
        <v>0</v>
      </c>
      <c r="S681" s="307">
        <f t="shared" ca="1" si="311"/>
        <v>7.9769999999999968</v>
      </c>
      <c r="T681" s="304">
        <f t="shared" ca="1" si="291"/>
        <v>78.254369999999966</v>
      </c>
      <c r="U681" s="311">
        <f t="shared" ca="1" si="292"/>
        <v>0</v>
      </c>
      <c r="V681" s="306">
        <f t="shared" ca="1" si="293"/>
        <v>1.2255290097101914</v>
      </c>
      <c r="W681" s="304">
        <f t="shared" ca="1" si="294"/>
        <v>59.195468902021588</v>
      </c>
      <c r="Y681" s="314" t="str">
        <f t="shared" ca="1" si="312"/>
        <v/>
      </c>
      <c r="Z681" s="315" t="str">
        <f t="shared" ca="1" si="313"/>
        <v/>
      </c>
      <c r="AA681" s="316" t="str">
        <f t="shared" ca="1" si="314"/>
        <v/>
      </c>
      <c r="AC681" s="310" t="e">
        <f t="shared" ca="1" si="315"/>
        <v>#N/A</v>
      </c>
      <c r="AD681" s="323" t="e">
        <f t="shared" ca="1" si="316"/>
        <v>#N/A</v>
      </c>
      <c r="AE681" s="324" t="e">
        <f t="shared" ca="1" si="295"/>
        <v>#N/A</v>
      </c>
      <c r="AG681" s="306">
        <f t="shared" ca="1" si="317"/>
        <v>2.3417871288045111</v>
      </c>
      <c r="AH681" s="304">
        <f t="shared" ca="1" si="318"/>
        <v>-7.4207306500461803</v>
      </c>
    </row>
    <row r="682" spans="1:34" x14ac:dyDescent="0.2">
      <c r="A682" s="347">
        <f t="shared" ca="1" si="296"/>
        <v>1E-4</v>
      </c>
      <c r="B682" s="304">
        <f t="shared" ca="1" si="297"/>
        <v>33.616200000000745</v>
      </c>
      <c r="D682" s="306">
        <f t="shared" ca="1" si="298"/>
        <v>-0.72923116510751185</v>
      </c>
      <c r="E682" s="307">
        <f t="shared" ca="1" si="299"/>
        <v>-2.4251489932532433</v>
      </c>
      <c r="F682" s="304">
        <f t="shared" ca="1" si="300"/>
        <v>2.5324149998847503</v>
      </c>
      <c r="G682" s="306">
        <f t="shared" ca="1" si="301"/>
        <v>11.883087660158411</v>
      </c>
      <c r="H682" s="307">
        <f t="shared" ca="1" si="302"/>
        <v>-120.33982013538309</v>
      </c>
      <c r="I682" s="304">
        <f t="shared" ca="1" si="303"/>
        <v>120.92510112691808</v>
      </c>
      <c r="J682" s="306">
        <f t="shared" ca="1" si="304"/>
        <v>755.70453742140728</v>
      </c>
      <c r="K682" s="307">
        <f t="shared" ca="1" si="305"/>
        <v>-4.3295483359281697</v>
      </c>
      <c r="L682" s="304">
        <f t="shared" ca="1" si="290"/>
        <v>755.71693964611927</v>
      </c>
      <c r="M682" s="306">
        <f t="shared" ca="1" si="306"/>
        <v>-1.4723693150432142</v>
      </c>
      <c r="N682" s="304">
        <f t="shared" ca="1" si="307"/>
        <v>-84.360547636544041</v>
      </c>
      <c r="P682" s="310">
        <f t="shared" ca="1" si="308"/>
        <v>23</v>
      </c>
      <c r="Q682" s="304">
        <f t="shared" ca="1" si="309"/>
        <v>0</v>
      </c>
      <c r="R682" s="306">
        <f t="shared" ca="1" si="310"/>
        <v>0</v>
      </c>
      <c r="S682" s="307">
        <f t="shared" ca="1" si="311"/>
        <v>7.9769999999999968</v>
      </c>
      <c r="T682" s="304">
        <f t="shared" ca="1" si="291"/>
        <v>78.254369999999966</v>
      </c>
      <c r="U682" s="311">
        <f t="shared" ca="1" si="292"/>
        <v>0</v>
      </c>
      <c r="V682" s="306">
        <f t="shared" ca="1" si="293"/>
        <v>1.2255304845090675</v>
      </c>
      <c r="W682" s="304">
        <f t="shared" ca="1" si="294"/>
        <v>59.195769406236892</v>
      </c>
      <c r="Y682" s="314" t="str">
        <f t="shared" ca="1" si="312"/>
        <v/>
      </c>
      <c r="Z682" s="315" t="str">
        <f t="shared" ca="1" si="313"/>
        <v/>
      </c>
      <c r="AA682" s="316" t="str">
        <f t="shared" ca="1" si="314"/>
        <v/>
      </c>
      <c r="AC682" s="310" t="e">
        <f t="shared" ca="1" si="315"/>
        <v>#N/A</v>
      </c>
      <c r="AD682" s="323" t="e">
        <f t="shared" ca="1" si="316"/>
        <v>#N/A</v>
      </c>
      <c r="AE682" s="324" t="e">
        <f t="shared" ca="1" si="295"/>
        <v>#N/A</v>
      </c>
      <c r="AG682" s="306">
        <f t="shared" ca="1" si="317"/>
        <v>2.341750225702329</v>
      </c>
      <c r="AH682" s="304">
        <f t="shared" ca="1" si="318"/>
        <v>-7.4207683216775244</v>
      </c>
    </row>
    <row r="683" spans="1:34" x14ac:dyDescent="0.2">
      <c r="A683" s="347">
        <f t="shared" ca="1" si="296"/>
        <v>1E-4</v>
      </c>
      <c r="B683" s="304">
        <f t="shared" ca="1" si="297"/>
        <v>33.616300000000749</v>
      </c>
      <c r="D683" s="306">
        <f t="shared" ca="1" si="298"/>
        <v>-0.72922897977491541</v>
      </c>
      <c r="E683" s="307">
        <f t="shared" ca="1" si="299"/>
        <v>-2.4251109229086998</v>
      </c>
      <c r="F683" s="304">
        <f t="shared" ca="1" si="300"/>
        <v>2.5323779128231729</v>
      </c>
      <c r="G683" s="306">
        <f t="shared" ca="1" si="301"/>
        <v>11.883014737260433</v>
      </c>
      <c r="H683" s="307">
        <f t="shared" ca="1" si="302"/>
        <v>-120.34006264647539</v>
      </c>
      <c r="I683" s="304">
        <f t="shared" ca="1" si="303"/>
        <v>120.92533529828879</v>
      </c>
      <c r="J683" s="306">
        <f t="shared" ca="1" si="304"/>
        <v>755.70453742140728</v>
      </c>
      <c r="K683" s="307">
        <f t="shared" ca="1" si="305"/>
        <v>-4.3415823300672622</v>
      </c>
      <c r="L683" s="304">
        <f t="shared" ca="1" si="290"/>
        <v>755.71700868541518</v>
      </c>
      <c r="M683" s="306">
        <f t="shared" ca="1" si="306"/>
        <v>-1.4723701122381823</v>
      </c>
      <c r="N683" s="304">
        <f t="shared" ca="1" si="307"/>
        <v>-84.360593312451158</v>
      </c>
      <c r="P683" s="310">
        <f t="shared" ca="1" si="308"/>
        <v>23</v>
      </c>
      <c r="Q683" s="304">
        <f t="shared" ca="1" si="309"/>
        <v>0</v>
      </c>
      <c r="R683" s="306">
        <f t="shared" ca="1" si="310"/>
        <v>0</v>
      </c>
      <c r="S683" s="307">
        <f t="shared" ca="1" si="311"/>
        <v>7.9769999999999968</v>
      </c>
      <c r="T683" s="304">
        <f t="shared" ca="1" si="291"/>
        <v>78.254369999999966</v>
      </c>
      <c r="U683" s="311">
        <f t="shared" ca="1" si="292"/>
        <v>0</v>
      </c>
      <c r="V683" s="306">
        <f t="shared" ca="1" si="293"/>
        <v>1.225531959312691</v>
      </c>
      <c r="W683" s="304">
        <f t="shared" ca="1" si="294"/>
        <v>59.196069908064317</v>
      </c>
      <c r="Y683" s="314" t="str">
        <f t="shared" ca="1" si="312"/>
        <v/>
      </c>
      <c r="Z683" s="315" t="str">
        <f t="shared" ca="1" si="313"/>
        <v/>
      </c>
      <c r="AA683" s="316" t="str">
        <f t="shared" ca="1" si="314"/>
        <v/>
      </c>
      <c r="AC683" s="310" t="e">
        <f t="shared" ca="1" si="315"/>
        <v>#N/A</v>
      </c>
      <c r="AD683" s="323" t="e">
        <f t="shared" ca="1" si="316"/>
        <v>#N/A</v>
      </c>
      <c r="AE683" s="324" t="e">
        <f t="shared" ca="1" si="295"/>
        <v>#N/A</v>
      </c>
      <c r="AG683" s="306">
        <f t="shared" ca="1" si="317"/>
        <v>2.3417133228856004</v>
      </c>
      <c r="AH683" s="304">
        <f t="shared" ca="1" si="318"/>
        <v>-7.4208059930095169</v>
      </c>
    </row>
    <row r="684" spans="1:34" x14ac:dyDescent="0.2">
      <c r="A684" s="347">
        <f t="shared" ca="1" si="296"/>
        <v>1E-4</v>
      </c>
      <c r="B684" s="304">
        <f t="shared" ca="1" si="297"/>
        <v>33.616400000000752</v>
      </c>
      <c r="D684" s="306">
        <f t="shared" ca="1" si="298"/>
        <v>-0.72922679441159743</v>
      </c>
      <c r="E684" s="307">
        <f t="shared" ca="1" si="299"/>
        <v>-2.4250728528666645</v>
      </c>
      <c r="F684" s="304">
        <f t="shared" ca="1" si="300"/>
        <v>2.5323408260735119</v>
      </c>
      <c r="G684" s="306">
        <f t="shared" ca="1" si="301"/>
        <v>11.882941814580992</v>
      </c>
      <c r="H684" s="307">
        <f t="shared" ca="1" si="302"/>
        <v>-120.34030515376068</v>
      </c>
      <c r="I684" s="304">
        <f t="shared" ca="1" si="303"/>
        <v>120.92556946596926</v>
      </c>
      <c r="J684" s="306">
        <f t="shared" ca="1" si="304"/>
        <v>755.70453742140728</v>
      </c>
      <c r="K684" s="307">
        <f t="shared" ca="1" si="305"/>
        <v>-4.3536163484572743</v>
      </c>
      <c r="L684" s="304">
        <f t="shared" ca="1" si="290"/>
        <v>755.71707791647304</v>
      </c>
      <c r="M684" s="306">
        <f t="shared" ca="1" si="306"/>
        <v>-1.4723709094251707</v>
      </c>
      <c r="N684" s="304">
        <f t="shared" ca="1" si="307"/>
        <v>-84.360638987901083</v>
      </c>
      <c r="P684" s="310">
        <f t="shared" ca="1" si="308"/>
        <v>23</v>
      </c>
      <c r="Q684" s="304">
        <f t="shared" ca="1" si="309"/>
        <v>0</v>
      </c>
      <c r="R684" s="306">
        <f t="shared" ca="1" si="310"/>
        <v>0</v>
      </c>
      <c r="S684" s="307">
        <f t="shared" ca="1" si="311"/>
        <v>7.9769999999999968</v>
      </c>
      <c r="T684" s="304">
        <f t="shared" ca="1" si="291"/>
        <v>78.254369999999966</v>
      </c>
      <c r="U684" s="311">
        <f t="shared" ca="1" si="292"/>
        <v>0</v>
      </c>
      <c r="V684" s="306">
        <f t="shared" ca="1" si="293"/>
        <v>1.2255334341210615</v>
      </c>
      <c r="W684" s="304">
        <f t="shared" ca="1" si="294"/>
        <v>59.196370407503863</v>
      </c>
      <c r="Y684" s="314" t="str">
        <f t="shared" ca="1" si="312"/>
        <v/>
      </c>
      <c r="Z684" s="315" t="str">
        <f t="shared" ca="1" si="313"/>
        <v/>
      </c>
      <c r="AA684" s="316" t="str">
        <f t="shared" ca="1" si="314"/>
        <v/>
      </c>
      <c r="AC684" s="310" t="e">
        <f t="shared" ca="1" si="315"/>
        <v>#N/A</v>
      </c>
      <c r="AD684" s="323" t="e">
        <f t="shared" ca="1" si="316"/>
        <v>#N/A</v>
      </c>
      <c r="AE684" s="324" t="e">
        <f t="shared" ca="1" si="295"/>
        <v>#N/A</v>
      </c>
      <c r="AG684" s="306">
        <f t="shared" ca="1" si="317"/>
        <v>2.3416764203543208</v>
      </c>
      <c r="AH684" s="304">
        <f t="shared" ca="1" si="318"/>
        <v>-7.420843664042164</v>
      </c>
    </row>
    <row r="685" spans="1:34" x14ac:dyDescent="0.2">
      <c r="A685" s="347">
        <f t="shared" ca="1" si="296"/>
        <v>1E-4</v>
      </c>
      <c r="B685" s="304">
        <f t="shared" ca="1" si="297"/>
        <v>33.616500000000755</v>
      </c>
      <c r="D685" s="306">
        <f t="shared" ca="1" si="298"/>
        <v>-0.72922460901755803</v>
      </c>
      <c r="E685" s="307">
        <f t="shared" ca="1" si="299"/>
        <v>-2.4250347831271357</v>
      </c>
      <c r="F685" s="304">
        <f t="shared" ca="1" si="300"/>
        <v>2.5323037396357657</v>
      </c>
      <c r="G685" s="306">
        <f t="shared" ca="1" si="301"/>
        <v>11.88286889212009</v>
      </c>
      <c r="H685" s="307">
        <f t="shared" ca="1" si="302"/>
        <v>-120.340547657239</v>
      </c>
      <c r="I685" s="304">
        <f t="shared" ca="1" si="303"/>
        <v>120.9258036299595</v>
      </c>
      <c r="J685" s="306">
        <f t="shared" ca="1" si="304"/>
        <v>755.70453742140728</v>
      </c>
      <c r="K685" s="307">
        <f t="shared" ca="1" si="305"/>
        <v>-4.3656503910978239</v>
      </c>
      <c r="L685" s="304">
        <f t="shared" ca="1" si="290"/>
        <v>755.71714733929423</v>
      </c>
      <c r="M685" s="306">
        <f t="shared" ca="1" si="306"/>
        <v>-1.4723717066041797</v>
      </c>
      <c r="N685" s="304">
        <f t="shared" ca="1" si="307"/>
        <v>-84.360684662893817</v>
      </c>
      <c r="P685" s="310">
        <f t="shared" ca="1" si="308"/>
        <v>23</v>
      </c>
      <c r="Q685" s="304">
        <f t="shared" ca="1" si="309"/>
        <v>0</v>
      </c>
      <c r="R685" s="306">
        <f t="shared" ca="1" si="310"/>
        <v>0</v>
      </c>
      <c r="S685" s="307">
        <f t="shared" ca="1" si="311"/>
        <v>7.9769999999999968</v>
      </c>
      <c r="T685" s="304">
        <f t="shared" ca="1" si="291"/>
        <v>78.254369999999966</v>
      </c>
      <c r="U685" s="311">
        <f t="shared" ca="1" si="292"/>
        <v>0</v>
      </c>
      <c r="V685" s="306">
        <f t="shared" ca="1" si="293"/>
        <v>1.2255349089341794</v>
      </c>
      <c r="W685" s="304">
        <f t="shared" ca="1" si="294"/>
        <v>59.196670904555525</v>
      </c>
      <c r="Y685" s="314" t="str">
        <f t="shared" ca="1" si="312"/>
        <v/>
      </c>
      <c r="Z685" s="315" t="str">
        <f t="shared" ca="1" si="313"/>
        <v/>
      </c>
      <c r="AA685" s="316" t="str">
        <f t="shared" ca="1" si="314"/>
        <v/>
      </c>
      <c r="AC685" s="310" t="e">
        <f t="shared" ca="1" si="315"/>
        <v>#N/A</v>
      </c>
      <c r="AD685" s="323" t="e">
        <f t="shared" ca="1" si="316"/>
        <v>#N/A</v>
      </c>
      <c r="AE685" s="324" t="e">
        <f t="shared" ca="1" si="295"/>
        <v>#N/A</v>
      </c>
      <c r="AG685" s="306">
        <f t="shared" ca="1" si="317"/>
        <v>2.3416395181084884</v>
      </c>
      <c r="AH685" s="304">
        <f t="shared" ca="1" si="318"/>
        <v>-7.4208813347754656</v>
      </c>
    </row>
    <row r="686" spans="1:34" x14ac:dyDescent="0.2">
      <c r="A686" s="347">
        <f t="shared" ca="1" si="296"/>
        <v>1E-4</v>
      </c>
      <c r="B686" s="304">
        <f t="shared" ca="1" si="297"/>
        <v>33.616600000000759</v>
      </c>
      <c r="D686" s="306">
        <f t="shared" ca="1" si="298"/>
        <v>-0.72922242359279699</v>
      </c>
      <c r="E686" s="307">
        <f t="shared" ca="1" si="299"/>
        <v>-2.4249967136901143</v>
      </c>
      <c r="F686" s="304">
        <f t="shared" ca="1" si="300"/>
        <v>2.532266653509935</v>
      </c>
      <c r="G686" s="306">
        <f t="shared" ca="1" si="301"/>
        <v>11.88279596987773</v>
      </c>
      <c r="H686" s="307">
        <f t="shared" ca="1" si="302"/>
        <v>-120.34079015691037</v>
      </c>
      <c r="I686" s="304">
        <f t="shared" ca="1" si="303"/>
        <v>120.92603779025956</v>
      </c>
      <c r="J686" s="306">
        <f t="shared" ca="1" si="304"/>
        <v>755.70453742140728</v>
      </c>
      <c r="K686" s="307">
        <f t="shared" ca="1" si="305"/>
        <v>-4.377684457988531</v>
      </c>
      <c r="L686" s="304">
        <f t="shared" ca="1" si="290"/>
        <v>755.71721695387942</v>
      </c>
      <c r="M686" s="306">
        <f t="shared" ca="1" si="306"/>
        <v>-1.4723725037752091</v>
      </c>
      <c r="N686" s="304">
        <f t="shared" ca="1" si="307"/>
        <v>-84.360730337429345</v>
      </c>
      <c r="P686" s="310">
        <f t="shared" ca="1" si="308"/>
        <v>23</v>
      </c>
      <c r="Q686" s="304">
        <f t="shared" ca="1" si="309"/>
        <v>0</v>
      </c>
      <c r="R686" s="306">
        <f t="shared" ca="1" si="310"/>
        <v>0</v>
      </c>
      <c r="S686" s="307">
        <f t="shared" ca="1" si="311"/>
        <v>7.9769999999999968</v>
      </c>
      <c r="T686" s="304">
        <f t="shared" ca="1" si="291"/>
        <v>78.254369999999966</v>
      </c>
      <c r="U686" s="311">
        <f t="shared" ca="1" si="292"/>
        <v>0</v>
      </c>
      <c r="V686" s="306">
        <f t="shared" ca="1" si="293"/>
        <v>1.2255363837520443</v>
      </c>
      <c r="W686" s="304">
        <f t="shared" ca="1" si="294"/>
        <v>59.196971399219287</v>
      </c>
      <c r="Y686" s="314" t="str">
        <f t="shared" ca="1" si="312"/>
        <v/>
      </c>
      <c r="Z686" s="315" t="str">
        <f t="shared" ca="1" si="313"/>
        <v/>
      </c>
      <c r="AA686" s="316" t="str">
        <f t="shared" ca="1" si="314"/>
        <v/>
      </c>
      <c r="AC686" s="310" t="e">
        <f t="shared" ca="1" si="315"/>
        <v>#N/A</v>
      </c>
      <c r="AD686" s="323" t="e">
        <f t="shared" ca="1" si="316"/>
        <v>#N/A</v>
      </c>
      <c r="AE686" s="324" t="e">
        <f t="shared" ca="1" si="295"/>
        <v>#N/A</v>
      </c>
      <c r="AG686" s="306">
        <f t="shared" ca="1" si="317"/>
        <v>2.3416026161481094</v>
      </c>
      <c r="AH686" s="304">
        <f t="shared" ca="1" si="318"/>
        <v>-7.4209190052094209</v>
      </c>
    </row>
    <row r="687" spans="1:34" x14ac:dyDescent="0.2">
      <c r="A687" s="347">
        <f t="shared" ca="1" si="296"/>
        <v>1E-4</v>
      </c>
      <c r="B687" s="304">
        <f t="shared" ca="1" si="297"/>
        <v>33.616700000000762</v>
      </c>
      <c r="D687" s="306">
        <f t="shared" ca="1" si="298"/>
        <v>-0.7292202381373174</v>
      </c>
      <c r="E687" s="307">
        <f t="shared" ca="1" si="299"/>
        <v>-2.4249586445556011</v>
      </c>
      <c r="F687" s="304">
        <f t="shared" ca="1" si="300"/>
        <v>2.5322295676960223</v>
      </c>
      <c r="G687" s="306">
        <f t="shared" ca="1" si="301"/>
        <v>11.882723047853917</v>
      </c>
      <c r="H687" s="307">
        <f t="shared" ca="1" si="302"/>
        <v>-120.34103265277483</v>
      </c>
      <c r="I687" s="304">
        <f t="shared" ca="1" si="303"/>
        <v>120.92627194686941</v>
      </c>
      <c r="J687" s="306">
        <f t="shared" ca="1" si="304"/>
        <v>755.70453742140728</v>
      </c>
      <c r="K687" s="307">
        <f t="shared" ca="1" si="305"/>
        <v>-4.3897185491290154</v>
      </c>
      <c r="L687" s="304">
        <f t="shared" ca="1" si="290"/>
        <v>755.71728676023008</v>
      </c>
      <c r="M687" s="306">
        <f t="shared" ca="1" si="306"/>
        <v>-1.4723733009382594</v>
      </c>
      <c r="N687" s="304">
        <f t="shared" ca="1" si="307"/>
        <v>-84.36077601150771</v>
      </c>
      <c r="P687" s="310">
        <f t="shared" ca="1" si="308"/>
        <v>23</v>
      </c>
      <c r="Q687" s="304">
        <f t="shared" ca="1" si="309"/>
        <v>0</v>
      </c>
      <c r="R687" s="306">
        <f t="shared" ca="1" si="310"/>
        <v>0</v>
      </c>
      <c r="S687" s="307">
        <f t="shared" ca="1" si="311"/>
        <v>7.9769999999999968</v>
      </c>
      <c r="T687" s="304">
        <f t="shared" ca="1" si="291"/>
        <v>78.254369999999966</v>
      </c>
      <c r="U687" s="311">
        <f t="shared" ca="1" si="292"/>
        <v>0</v>
      </c>
      <c r="V687" s="306">
        <f t="shared" ca="1" si="293"/>
        <v>1.2255378585746566</v>
      </c>
      <c r="W687" s="304">
        <f t="shared" ca="1" si="294"/>
        <v>59.197271891495134</v>
      </c>
      <c r="Y687" s="314" t="str">
        <f t="shared" ca="1" si="312"/>
        <v/>
      </c>
      <c r="Z687" s="315" t="str">
        <f t="shared" ca="1" si="313"/>
        <v/>
      </c>
      <c r="AA687" s="316" t="str">
        <f t="shared" ca="1" si="314"/>
        <v/>
      </c>
      <c r="AC687" s="310" t="e">
        <f t="shared" ca="1" si="315"/>
        <v>#N/A</v>
      </c>
      <c r="AD687" s="323" t="e">
        <f t="shared" ca="1" si="316"/>
        <v>#N/A</v>
      </c>
      <c r="AE687" s="324" t="e">
        <f t="shared" ca="1" si="295"/>
        <v>#N/A</v>
      </c>
      <c r="AG687" s="306">
        <f t="shared" ca="1" si="317"/>
        <v>2.3415657144731821</v>
      </c>
      <c r="AH687" s="304">
        <f t="shared" ca="1" si="318"/>
        <v>-7.4209566753440281</v>
      </c>
    </row>
    <row r="688" spans="1:34" x14ac:dyDescent="0.2">
      <c r="A688" s="347">
        <f t="shared" ca="1" si="296"/>
        <v>1E-4</v>
      </c>
      <c r="B688" s="304">
        <f t="shared" ca="1" si="297"/>
        <v>33.616800000000765</v>
      </c>
      <c r="D688" s="306">
        <f t="shared" ca="1" si="298"/>
        <v>-0.7292180526511175</v>
      </c>
      <c r="E688" s="307">
        <f t="shared" ca="1" si="299"/>
        <v>-2.4249205757236005</v>
      </c>
      <c r="F688" s="304">
        <f t="shared" ca="1" si="300"/>
        <v>2.5321924821940307</v>
      </c>
      <c r="G688" s="306">
        <f t="shared" ca="1" si="301"/>
        <v>11.882650126048652</v>
      </c>
      <c r="H688" s="307">
        <f t="shared" ca="1" si="302"/>
        <v>-120.34127514483239</v>
      </c>
      <c r="I688" s="304">
        <f t="shared" ca="1" si="303"/>
        <v>120.92650609978914</v>
      </c>
      <c r="J688" s="306">
        <f t="shared" ca="1" si="304"/>
        <v>755.70453742140728</v>
      </c>
      <c r="K688" s="307">
        <f t="shared" ca="1" si="305"/>
        <v>-4.401752664518896</v>
      </c>
      <c r="L688" s="304">
        <f t="shared" ca="1" si="290"/>
        <v>755.71735675834702</v>
      </c>
      <c r="M688" s="306">
        <f t="shared" ca="1" si="306"/>
        <v>-1.4723740980933306</v>
      </c>
      <c r="N688" s="304">
        <f t="shared" ca="1" si="307"/>
        <v>-84.360821685128911</v>
      </c>
      <c r="P688" s="310">
        <f t="shared" ca="1" si="308"/>
        <v>23</v>
      </c>
      <c r="Q688" s="304">
        <f t="shared" ca="1" si="309"/>
        <v>0</v>
      </c>
      <c r="R688" s="306">
        <f t="shared" ca="1" si="310"/>
        <v>0</v>
      </c>
      <c r="S688" s="307">
        <f t="shared" ca="1" si="311"/>
        <v>7.9769999999999968</v>
      </c>
      <c r="T688" s="304">
        <f t="shared" ca="1" si="291"/>
        <v>78.254369999999966</v>
      </c>
      <c r="U688" s="311">
        <f t="shared" ca="1" si="292"/>
        <v>0</v>
      </c>
      <c r="V688" s="306">
        <f t="shared" ca="1" si="293"/>
        <v>1.2255393334020157</v>
      </c>
      <c r="W688" s="304">
        <f t="shared" ca="1" si="294"/>
        <v>59.197572381383083</v>
      </c>
      <c r="Y688" s="314" t="str">
        <f t="shared" ca="1" si="312"/>
        <v/>
      </c>
      <c r="Z688" s="315" t="str">
        <f t="shared" ca="1" si="313"/>
        <v/>
      </c>
      <c r="AA688" s="316" t="str">
        <f t="shared" ca="1" si="314"/>
        <v/>
      </c>
      <c r="AC688" s="310" t="e">
        <f t="shared" ca="1" si="315"/>
        <v>#N/A</v>
      </c>
      <c r="AD688" s="323" t="e">
        <f t="shared" ca="1" si="316"/>
        <v>#N/A</v>
      </c>
      <c r="AE688" s="324" t="e">
        <f t="shared" ca="1" si="295"/>
        <v>#N/A</v>
      </c>
      <c r="AG688" s="306">
        <f t="shared" ca="1" si="317"/>
        <v>2.3415288130837064</v>
      </c>
      <c r="AH688" s="304">
        <f t="shared" ca="1" si="318"/>
        <v>-7.4209943451792855</v>
      </c>
    </row>
    <row r="689" spans="1:34" x14ac:dyDescent="0.2">
      <c r="A689" s="347">
        <f t="shared" ca="1" si="296"/>
        <v>1E-4</v>
      </c>
      <c r="B689" s="304">
        <f t="shared" ca="1" si="297"/>
        <v>33.616900000000769</v>
      </c>
      <c r="D689" s="306">
        <f t="shared" ca="1" si="298"/>
        <v>-0.72921586713419717</v>
      </c>
      <c r="E689" s="307">
        <f t="shared" ca="1" si="299"/>
        <v>-2.4248825071941082</v>
      </c>
      <c r="F689" s="304">
        <f t="shared" ca="1" si="300"/>
        <v>2.5321553970039563</v>
      </c>
      <c r="G689" s="306">
        <f t="shared" ca="1" si="301"/>
        <v>11.882577204461938</v>
      </c>
      <c r="H689" s="307">
        <f t="shared" ca="1" si="302"/>
        <v>-120.34151763308311</v>
      </c>
      <c r="I689" s="304">
        <f t="shared" ca="1" si="303"/>
        <v>120.92674024901876</v>
      </c>
      <c r="J689" s="306">
        <f t="shared" ca="1" si="304"/>
        <v>755.70453742140728</v>
      </c>
      <c r="K689" s="307">
        <f t="shared" ca="1" si="305"/>
        <v>-4.4137868041577919</v>
      </c>
      <c r="L689" s="304">
        <f t="shared" ca="1" si="290"/>
        <v>755.7174269482316</v>
      </c>
      <c r="M689" s="306">
        <f t="shared" ca="1" si="306"/>
        <v>-1.4723748952404228</v>
      </c>
      <c r="N689" s="304">
        <f t="shared" ca="1" si="307"/>
        <v>-84.36086735829295</v>
      </c>
      <c r="P689" s="310">
        <f t="shared" ca="1" si="308"/>
        <v>23</v>
      </c>
      <c r="Q689" s="304">
        <f t="shared" ca="1" si="309"/>
        <v>0</v>
      </c>
      <c r="R689" s="306">
        <f t="shared" ca="1" si="310"/>
        <v>0</v>
      </c>
      <c r="S689" s="307">
        <f t="shared" ca="1" si="311"/>
        <v>7.9769999999999968</v>
      </c>
      <c r="T689" s="304">
        <f t="shared" ca="1" si="291"/>
        <v>78.254369999999966</v>
      </c>
      <c r="U689" s="311">
        <f t="shared" ca="1" si="292"/>
        <v>0</v>
      </c>
      <c r="V689" s="306">
        <f t="shared" ca="1" si="293"/>
        <v>1.2255408082341219</v>
      </c>
      <c r="W689" s="304">
        <f t="shared" ca="1" si="294"/>
        <v>59.197872868883131</v>
      </c>
      <c r="Y689" s="314" t="str">
        <f t="shared" ca="1" si="312"/>
        <v/>
      </c>
      <c r="Z689" s="315" t="str">
        <f t="shared" ca="1" si="313"/>
        <v/>
      </c>
      <c r="AA689" s="316" t="str">
        <f t="shared" ca="1" si="314"/>
        <v/>
      </c>
      <c r="AC689" s="310" t="e">
        <f t="shared" ca="1" si="315"/>
        <v>#N/A</v>
      </c>
      <c r="AD689" s="323" t="e">
        <f t="shared" ca="1" si="316"/>
        <v>#N/A</v>
      </c>
      <c r="AE689" s="324" t="e">
        <f t="shared" ca="1" si="295"/>
        <v>#N/A</v>
      </c>
      <c r="AG689" s="306">
        <f t="shared" ca="1" si="317"/>
        <v>2.3414919119796842</v>
      </c>
      <c r="AH689" s="304">
        <f t="shared" ca="1" si="318"/>
        <v>-7.4210320147151947</v>
      </c>
    </row>
    <row r="690" spans="1:34" x14ac:dyDescent="0.2">
      <c r="A690" s="347">
        <f t="shared" ca="1" si="296"/>
        <v>1E-4</v>
      </c>
      <c r="B690" s="304">
        <f t="shared" ca="1" si="297"/>
        <v>33.617000000000772</v>
      </c>
      <c r="D690" s="306">
        <f t="shared" ca="1" si="298"/>
        <v>-0.72921368158656008</v>
      </c>
      <c r="E690" s="307">
        <f t="shared" ca="1" si="299"/>
        <v>-2.4248444389671269</v>
      </c>
      <c r="F690" s="304">
        <f t="shared" ca="1" si="300"/>
        <v>2.5321183121258031</v>
      </c>
      <c r="G690" s="306">
        <f t="shared" ca="1" si="301"/>
        <v>11.88250428309378</v>
      </c>
      <c r="H690" s="307">
        <f t="shared" ca="1" si="302"/>
        <v>-120.34176011752702</v>
      </c>
      <c r="I690" s="304">
        <f t="shared" ca="1" si="303"/>
        <v>120.9269743945583</v>
      </c>
      <c r="J690" s="306">
        <f t="shared" ca="1" si="304"/>
        <v>755.70453742140728</v>
      </c>
      <c r="K690" s="307">
        <f t="shared" ca="1" si="305"/>
        <v>-4.425820968045322</v>
      </c>
      <c r="L690" s="304">
        <f t="shared" ca="1" si="290"/>
        <v>755.71749732988474</v>
      </c>
      <c r="M690" s="306">
        <f t="shared" ca="1" si="306"/>
        <v>-1.4723756923795359</v>
      </c>
      <c r="N690" s="304">
        <f t="shared" ca="1" si="307"/>
        <v>-84.360913030999811</v>
      </c>
      <c r="P690" s="310">
        <f t="shared" ca="1" si="308"/>
        <v>23</v>
      </c>
      <c r="Q690" s="304">
        <f t="shared" ca="1" si="309"/>
        <v>0</v>
      </c>
      <c r="R690" s="306">
        <f t="shared" ca="1" si="310"/>
        <v>0</v>
      </c>
      <c r="S690" s="307">
        <f t="shared" ca="1" si="311"/>
        <v>7.9769999999999968</v>
      </c>
      <c r="T690" s="304">
        <f t="shared" ca="1" si="291"/>
        <v>78.254369999999966</v>
      </c>
      <c r="U690" s="311">
        <f t="shared" ca="1" si="292"/>
        <v>0</v>
      </c>
      <c r="V690" s="306">
        <f t="shared" ca="1" si="293"/>
        <v>1.225542283070975</v>
      </c>
      <c r="W690" s="304">
        <f t="shared" ca="1" si="294"/>
        <v>59.198173353995251</v>
      </c>
      <c r="Y690" s="314" t="str">
        <f t="shared" ca="1" si="312"/>
        <v/>
      </c>
      <c r="Z690" s="315" t="str">
        <f t="shared" ca="1" si="313"/>
        <v/>
      </c>
      <c r="AA690" s="316" t="str">
        <f t="shared" ca="1" si="314"/>
        <v/>
      </c>
      <c r="AC690" s="310" t="e">
        <f t="shared" ca="1" si="315"/>
        <v>#N/A</v>
      </c>
      <c r="AD690" s="323" t="e">
        <f t="shared" ca="1" si="316"/>
        <v>#N/A</v>
      </c>
      <c r="AE690" s="324" t="e">
        <f t="shared" ca="1" si="295"/>
        <v>#N/A</v>
      </c>
      <c r="AG690" s="306">
        <f t="shared" ca="1" si="317"/>
        <v>2.3414550111611154</v>
      </c>
      <c r="AH690" s="304">
        <f t="shared" ca="1" si="318"/>
        <v>-7.4210696839517558</v>
      </c>
    </row>
    <row r="691" spans="1:34" x14ac:dyDescent="0.2">
      <c r="A691" s="347">
        <f t="shared" ca="1" si="296"/>
        <v>1E-4</v>
      </c>
      <c r="B691" s="304">
        <f t="shared" ca="1" si="297"/>
        <v>33.617100000000775</v>
      </c>
      <c r="D691" s="306">
        <f t="shared" ca="1" si="298"/>
        <v>-0.72921149600820567</v>
      </c>
      <c r="E691" s="307">
        <f t="shared" ca="1" si="299"/>
        <v>-2.4248063710426564</v>
      </c>
      <c r="F691" s="304">
        <f t="shared" ca="1" si="300"/>
        <v>2.5320812275595705</v>
      </c>
      <c r="G691" s="306">
        <f t="shared" ca="1" si="301"/>
        <v>11.88243136194418</v>
      </c>
      <c r="H691" s="307">
        <f t="shared" ca="1" si="302"/>
        <v>-120.34200259816411</v>
      </c>
      <c r="I691" s="304">
        <f t="shared" ca="1" si="303"/>
        <v>120.92720853640778</v>
      </c>
      <c r="J691" s="306">
        <f t="shared" ca="1" si="304"/>
        <v>755.70453742140728</v>
      </c>
      <c r="K691" s="307">
        <f t="shared" ca="1" si="305"/>
        <v>-4.4378551561811062</v>
      </c>
      <c r="L691" s="304">
        <f t="shared" ca="1" si="290"/>
        <v>755.71756790330767</v>
      </c>
      <c r="M691" s="306">
        <f t="shared" ca="1" si="306"/>
        <v>-1.4723764895106703</v>
      </c>
      <c r="N691" s="304">
        <f t="shared" ca="1" si="307"/>
        <v>-84.360958703249537</v>
      </c>
      <c r="P691" s="310">
        <f t="shared" ca="1" si="308"/>
        <v>23</v>
      </c>
      <c r="Q691" s="304">
        <f t="shared" ca="1" si="309"/>
        <v>0</v>
      </c>
      <c r="R691" s="306">
        <f t="shared" ca="1" si="310"/>
        <v>0</v>
      </c>
      <c r="S691" s="307">
        <f t="shared" ca="1" si="311"/>
        <v>7.9769999999999968</v>
      </c>
      <c r="T691" s="304">
        <f t="shared" ca="1" si="291"/>
        <v>78.254369999999966</v>
      </c>
      <c r="U691" s="311">
        <f t="shared" ca="1" si="292"/>
        <v>0</v>
      </c>
      <c r="V691" s="306">
        <f t="shared" ca="1" si="293"/>
        <v>1.2255437579125752</v>
      </c>
      <c r="W691" s="304">
        <f t="shared" ca="1" si="294"/>
        <v>59.198473836719472</v>
      </c>
      <c r="Y691" s="314" t="str">
        <f t="shared" ca="1" si="312"/>
        <v/>
      </c>
      <c r="Z691" s="315" t="str">
        <f t="shared" ca="1" si="313"/>
        <v/>
      </c>
      <c r="AA691" s="316" t="str">
        <f t="shared" ca="1" si="314"/>
        <v/>
      </c>
      <c r="AC691" s="310" t="e">
        <f t="shared" ca="1" si="315"/>
        <v>#N/A</v>
      </c>
      <c r="AD691" s="323" t="e">
        <f t="shared" ca="1" si="316"/>
        <v>#N/A</v>
      </c>
      <c r="AE691" s="324" t="e">
        <f t="shared" ca="1" si="295"/>
        <v>#N/A</v>
      </c>
      <c r="AG691" s="306">
        <f t="shared" ca="1" si="317"/>
        <v>2.3414181106280054</v>
      </c>
      <c r="AH691" s="304">
        <f t="shared" ca="1" si="318"/>
        <v>-7.4211073528889653</v>
      </c>
    </row>
    <row r="692" spans="1:34" x14ac:dyDescent="0.2">
      <c r="A692" s="347">
        <f t="shared" ca="1" si="296"/>
        <v>1E-4</v>
      </c>
      <c r="B692" s="304">
        <f t="shared" ca="1" si="297"/>
        <v>33.617200000000778</v>
      </c>
      <c r="D692" s="306">
        <f t="shared" ca="1" si="298"/>
        <v>-0.72920931039913428</v>
      </c>
      <c r="E692" s="307">
        <f t="shared" ca="1" si="299"/>
        <v>-2.4247683034206968</v>
      </c>
      <c r="F692" s="304">
        <f t="shared" ca="1" si="300"/>
        <v>2.5320441433052596</v>
      </c>
      <c r="G692" s="306">
        <f t="shared" ca="1" si="301"/>
        <v>11.882358441013141</v>
      </c>
      <c r="H692" s="307">
        <f t="shared" ca="1" si="302"/>
        <v>-120.34224507499445</v>
      </c>
      <c r="I692" s="304">
        <f t="shared" ca="1" si="303"/>
        <v>120.92744267456723</v>
      </c>
      <c r="J692" s="306">
        <f t="shared" ca="1" si="304"/>
        <v>755.70453742140728</v>
      </c>
      <c r="K692" s="307">
        <f t="shared" ca="1" si="305"/>
        <v>-4.4498893685647642</v>
      </c>
      <c r="L692" s="304">
        <f t="shared" ca="1" si="290"/>
        <v>755.71763866850142</v>
      </c>
      <c r="M692" s="306">
        <f t="shared" ca="1" si="306"/>
        <v>-1.4723772866338261</v>
      </c>
      <c r="N692" s="304">
        <f t="shared" ca="1" si="307"/>
        <v>-84.361004375042114</v>
      </c>
      <c r="P692" s="310">
        <f t="shared" ca="1" si="308"/>
        <v>23</v>
      </c>
      <c r="Q692" s="304">
        <f t="shared" ca="1" si="309"/>
        <v>0</v>
      </c>
      <c r="R692" s="306">
        <f t="shared" ca="1" si="310"/>
        <v>0</v>
      </c>
      <c r="S692" s="307">
        <f t="shared" ca="1" si="311"/>
        <v>7.9769999999999968</v>
      </c>
      <c r="T692" s="304">
        <f t="shared" ca="1" si="291"/>
        <v>78.254369999999966</v>
      </c>
      <c r="U692" s="311">
        <f t="shared" ca="1" si="292"/>
        <v>0</v>
      </c>
      <c r="V692" s="306">
        <f t="shared" ca="1" si="293"/>
        <v>1.225545232758922</v>
      </c>
      <c r="W692" s="304">
        <f t="shared" ca="1" si="294"/>
        <v>59.198774317055758</v>
      </c>
      <c r="Y692" s="314" t="str">
        <f t="shared" ca="1" si="312"/>
        <v/>
      </c>
      <c r="Z692" s="315" t="str">
        <f t="shared" ca="1" si="313"/>
        <v/>
      </c>
      <c r="AA692" s="316" t="str">
        <f t="shared" ca="1" si="314"/>
        <v/>
      </c>
      <c r="AC692" s="310" t="e">
        <f t="shared" ca="1" si="315"/>
        <v>#N/A</v>
      </c>
      <c r="AD692" s="323" t="e">
        <f t="shared" ca="1" si="316"/>
        <v>#N/A</v>
      </c>
      <c r="AE692" s="324" t="e">
        <f t="shared" ca="1" si="295"/>
        <v>#N/A</v>
      </c>
      <c r="AG692" s="306">
        <f t="shared" ca="1" si="317"/>
        <v>2.3413812103803471</v>
      </c>
      <c r="AH692" s="304">
        <f t="shared" ca="1" si="318"/>
        <v>-7.4211450215268266</v>
      </c>
    </row>
    <row r="693" spans="1:34" x14ac:dyDescent="0.2">
      <c r="A693" s="347">
        <f t="shared" ca="1" si="296"/>
        <v>1E-4</v>
      </c>
      <c r="B693" s="304">
        <f t="shared" ca="1" si="297"/>
        <v>33.617300000000782</v>
      </c>
      <c r="D693" s="306">
        <f t="shared" ca="1" si="298"/>
        <v>-0.72920712475934701</v>
      </c>
      <c r="E693" s="307">
        <f t="shared" ca="1" si="299"/>
        <v>-2.4247302361012499</v>
      </c>
      <c r="F693" s="304">
        <f t="shared" ca="1" si="300"/>
        <v>2.5320070593628716</v>
      </c>
      <c r="G693" s="306">
        <f t="shared" ca="1" si="301"/>
        <v>11.882285520300664</v>
      </c>
      <c r="H693" s="307">
        <f t="shared" ca="1" si="302"/>
        <v>-120.34248754801806</v>
      </c>
      <c r="I693" s="304">
        <f t="shared" ca="1" si="303"/>
        <v>120.92767680903668</v>
      </c>
      <c r="J693" s="306">
        <f t="shared" ca="1" si="304"/>
        <v>755.70453742140728</v>
      </c>
      <c r="K693" s="307">
        <f t="shared" ca="1" si="305"/>
        <v>-4.4619236051959152</v>
      </c>
      <c r="L693" s="304">
        <f t="shared" ca="1" si="290"/>
        <v>755.71770962546702</v>
      </c>
      <c r="M693" s="306">
        <f t="shared" ca="1" si="306"/>
        <v>-1.4723780837490033</v>
      </c>
      <c r="N693" s="304">
        <f t="shared" ca="1" si="307"/>
        <v>-84.361050046377542</v>
      </c>
      <c r="P693" s="310">
        <f t="shared" ca="1" si="308"/>
        <v>23</v>
      </c>
      <c r="Q693" s="304">
        <f t="shared" ca="1" si="309"/>
        <v>0</v>
      </c>
      <c r="R693" s="306">
        <f t="shared" ca="1" si="310"/>
        <v>0</v>
      </c>
      <c r="S693" s="307">
        <f t="shared" ca="1" si="311"/>
        <v>7.9769999999999968</v>
      </c>
      <c r="T693" s="304">
        <f t="shared" ca="1" si="291"/>
        <v>78.254369999999966</v>
      </c>
      <c r="U693" s="311">
        <f t="shared" ca="1" si="292"/>
        <v>0</v>
      </c>
      <c r="V693" s="306">
        <f t="shared" ca="1" si="293"/>
        <v>1.2255467076100159</v>
      </c>
      <c r="W693" s="304">
        <f t="shared" ca="1" si="294"/>
        <v>59.199074795004123</v>
      </c>
      <c r="Y693" s="314" t="str">
        <f t="shared" ca="1" si="312"/>
        <v/>
      </c>
      <c r="Z693" s="315" t="str">
        <f t="shared" ca="1" si="313"/>
        <v/>
      </c>
      <c r="AA693" s="316" t="str">
        <f t="shared" ca="1" si="314"/>
        <v/>
      </c>
      <c r="AC693" s="310" t="e">
        <f t="shared" ca="1" si="315"/>
        <v>#N/A</v>
      </c>
      <c r="AD693" s="323" t="e">
        <f t="shared" ca="1" si="316"/>
        <v>#N/A</v>
      </c>
      <c r="AE693" s="324" t="e">
        <f t="shared" ca="1" si="295"/>
        <v>#N/A</v>
      </c>
      <c r="AG693" s="306">
        <f t="shared" ca="1" si="317"/>
        <v>2.3413443104181466</v>
      </c>
      <c r="AH693" s="304">
        <f t="shared" ca="1" si="318"/>
        <v>-7.4211826898653355</v>
      </c>
    </row>
    <row r="694" spans="1:34" x14ac:dyDescent="0.2">
      <c r="A694" s="347">
        <f t="shared" ca="1" si="296"/>
        <v>1E-4</v>
      </c>
      <c r="B694" s="304">
        <f t="shared" ca="1" si="297"/>
        <v>33.617400000000785</v>
      </c>
      <c r="D694" s="306">
        <f t="shared" ca="1" si="298"/>
        <v>-0.7292049390888441</v>
      </c>
      <c r="E694" s="307">
        <f t="shared" ca="1" si="299"/>
        <v>-2.4246921690843157</v>
      </c>
      <c r="F694" s="304">
        <f t="shared" ca="1" si="300"/>
        <v>2.5319699757324075</v>
      </c>
      <c r="G694" s="306">
        <f t="shared" ca="1" si="301"/>
        <v>11.882212599806756</v>
      </c>
      <c r="H694" s="307">
        <f t="shared" ca="1" si="302"/>
        <v>-120.34273001723497</v>
      </c>
      <c r="I694" s="304">
        <f t="shared" ca="1" si="303"/>
        <v>120.92791093981617</v>
      </c>
      <c r="J694" s="306">
        <f t="shared" ca="1" si="304"/>
        <v>755.70453742140728</v>
      </c>
      <c r="K694" s="307">
        <f t="shared" ca="1" si="305"/>
        <v>-4.4739578660741781</v>
      </c>
      <c r="L694" s="304">
        <f t="shared" ca="1" si="290"/>
        <v>755.71778077420583</v>
      </c>
      <c r="M694" s="306">
        <f t="shared" ca="1" si="306"/>
        <v>-1.4723788808562019</v>
      </c>
      <c r="N694" s="304">
        <f t="shared" ca="1" si="307"/>
        <v>-84.36109571725585</v>
      </c>
      <c r="P694" s="310">
        <f t="shared" ca="1" si="308"/>
        <v>23</v>
      </c>
      <c r="Q694" s="304">
        <f t="shared" ca="1" si="309"/>
        <v>0</v>
      </c>
      <c r="R694" s="306">
        <f t="shared" ca="1" si="310"/>
        <v>0</v>
      </c>
      <c r="S694" s="307">
        <f t="shared" ca="1" si="311"/>
        <v>7.9769999999999968</v>
      </c>
      <c r="T694" s="304">
        <f t="shared" ca="1" si="291"/>
        <v>78.254369999999966</v>
      </c>
      <c r="U694" s="311">
        <f t="shared" ca="1" si="292"/>
        <v>0</v>
      </c>
      <c r="V694" s="306">
        <f t="shared" ca="1" si="293"/>
        <v>1.2255481824658567</v>
      </c>
      <c r="W694" s="304">
        <f t="shared" ca="1" si="294"/>
        <v>59.199375270564587</v>
      </c>
      <c r="Y694" s="314" t="str">
        <f t="shared" ca="1" si="312"/>
        <v/>
      </c>
      <c r="Z694" s="315" t="str">
        <f t="shared" ca="1" si="313"/>
        <v/>
      </c>
      <c r="AA694" s="316" t="str">
        <f t="shared" ca="1" si="314"/>
        <v/>
      </c>
      <c r="AC694" s="310" t="e">
        <f t="shared" ca="1" si="315"/>
        <v>#N/A</v>
      </c>
      <c r="AD694" s="323" t="e">
        <f t="shared" ca="1" si="316"/>
        <v>#N/A</v>
      </c>
      <c r="AE694" s="324" t="e">
        <f t="shared" ca="1" si="295"/>
        <v>#N/A</v>
      </c>
      <c r="AG694" s="306">
        <f t="shared" ca="1" si="317"/>
        <v>2.341307410741404</v>
      </c>
      <c r="AH694" s="304">
        <f t="shared" ca="1" si="318"/>
        <v>-7.4212203579044935</v>
      </c>
    </row>
    <row r="695" spans="1:34" x14ac:dyDescent="0.2">
      <c r="A695" s="347">
        <f t="shared" ca="1" si="296"/>
        <v>1E-4</v>
      </c>
      <c r="B695" s="304">
        <f t="shared" ca="1" si="297"/>
        <v>33.617500000000788</v>
      </c>
      <c r="D695" s="306">
        <f t="shared" ca="1" si="298"/>
        <v>-0.72920275338762741</v>
      </c>
      <c r="E695" s="307">
        <f t="shared" ca="1" si="299"/>
        <v>-2.4246541023698907</v>
      </c>
      <c r="F695" s="304">
        <f t="shared" ca="1" si="300"/>
        <v>2.5319328924138644</v>
      </c>
      <c r="G695" s="306">
        <f t="shared" ca="1" si="301"/>
        <v>11.882139679531418</v>
      </c>
      <c r="H695" s="307">
        <f t="shared" ca="1" si="302"/>
        <v>-120.34297248264521</v>
      </c>
      <c r="I695" s="304">
        <f t="shared" ca="1" si="303"/>
        <v>120.92814506690573</v>
      </c>
      <c r="J695" s="306">
        <f t="shared" ca="1" si="304"/>
        <v>755.70453742140728</v>
      </c>
      <c r="K695" s="307">
        <f t="shared" ca="1" si="305"/>
        <v>-4.4859921511991718</v>
      </c>
      <c r="L695" s="304">
        <f t="shared" ca="1" si="290"/>
        <v>755.71785211471865</v>
      </c>
      <c r="M695" s="306">
        <f t="shared" ca="1" si="306"/>
        <v>-1.4723796779554224</v>
      </c>
      <c r="N695" s="304">
        <f t="shared" ca="1" si="307"/>
        <v>-84.361141387677037</v>
      </c>
      <c r="P695" s="310">
        <f t="shared" ca="1" si="308"/>
        <v>23</v>
      </c>
      <c r="Q695" s="304">
        <f t="shared" ca="1" si="309"/>
        <v>0</v>
      </c>
      <c r="R695" s="306">
        <f t="shared" ca="1" si="310"/>
        <v>0</v>
      </c>
      <c r="S695" s="307">
        <f t="shared" ca="1" si="311"/>
        <v>7.9769999999999968</v>
      </c>
      <c r="T695" s="304">
        <f t="shared" ca="1" si="291"/>
        <v>78.254369999999966</v>
      </c>
      <c r="U695" s="311">
        <f t="shared" ca="1" si="292"/>
        <v>0</v>
      </c>
      <c r="V695" s="306">
        <f t="shared" ca="1" si="293"/>
        <v>1.2255496573264448</v>
      </c>
      <c r="W695" s="304">
        <f t="shared" ca="1" si="294"/>
        <v>59.199675743737131</v>
      </c>
      <c r="Y695" s="314" t="str">
        <f t="shared" ca="1" si="312"/>
        <v/>
      </c>
      <c r="Z695" s="315" t="str">
        <f t="shared" ca="1" si="313"/>
        <v/>
      </c>
      <c r="AA695" s="316" t="str">
        <f t="shared" ca="1" si="314"/>
        <v/>
      </c>
      <c r="AC695" s="310" t="e">
        <f t="shared" ca="1" si="315"/>
        <v>#N/A</v>
      </c>
      <c r="AD695" s="323" t="e">
        <f t="shared" ca="1" si="316"/>
        <v>#N/A</v>
      </c>
      <c r="AE695" s="324" t="e">
        <f t="shared" ca="1" si="295"/>
        <v>#N/A</v>
      </c>
      <c r="AG695" s="306">
        <f t="shared" ca="1" si="317"/>
        <v>2.3412705113501167</v>
      </c>
      <c r="AH695" s="304">
        <f t="shared" ca="1" si="318"/>
        <v>-7.4212580256443035</v>
      </c>
    </row>
    <row r="696" spans="1:34" x14ac:dyDescent="0.2">
      <c r="A696" s="347">
        <f t="shared" ca="1" si="296"/>
        <v>1E-4</v>
      </c>
      <c r="B696" s="304">
        <f t="shared" ca="1" si="297"/>
        <v>33.617600000000792</v>
      </c>
      <c r="D696" s="306">
        <f t="shared" ca="1" si="298"/>
        <v>-0.72920056765569685</v>
      </c>
      <c r="E696" s="307">
        <f t="shared" ca="1" si="299"/>
        <v>-2.4246160359579774</v>
      </c>
      <c r="F696" s="304">
        <f t="shared" ca="1" si="300"/>
        <v>2.5318958094072448</v>
      </c>
      <c r="G696" s="306">
        <f t="shared" ca="1" si="301"/>
        <v>11.882066759474652</v>
      </c>
      <c r="H696" s="307">
        <f t="shared" ca="1" si="302"/>
        <v>-120.3432149442488</v>
      </c>
      <c r="I696" s="304">
        <f t="shared" ca="1" si="303"/>
        <v>120.92837919030536</v>
      </c>
      <c r="J696" s="306">
        <f t="shared" ca="1" si="304"/>
        <v>755.70453742140728</v>
      </c>
      <c r="K696" s="307">
        <f t="shared" ca="1" si="305"/>
        <v>-4.4980264605705162</v>
      </c>
      <c r="L696" s="304">
        <f t="shared" ca="1" si="290"/>
        <v>755.71792364700673</v>
      </c>
      <c r="M696" s="306">
        <f t="shared" ca="1" si="306"/>
        <v>-1.4723804750466647</v>
      </c>
      <c r="N696" s="304">
        <f t="shared" ca="1" si="307"/>
        <v>-84.361187057641104</v>
      </c>
      <c r="P696" s="310">
        <f t="shared" ca="1" si="308"/>
        <v>23</v>
      </c>
      <c r="Q696" s="304">
        <f t="shared" ca="1" si="309"/>
        <v>0</v>
      </c>
      <c r="R696" s="306">
        <f t="shared" ca="1" si="310"/>
        <v>0</v>
      </c>
      <c r="S696" s="307">
        <f t="shared" ca="1" si="311"/>
        <v>7.9769999999999968</v>
      </c>
      <c r="T696" s="304">
        <f t="shared" ca="1" si="291"/>
        <v>78.254369999999966</v>
      </c>
      <c r="U696" s="311">
        <f t="shared" ca="1" si="292"/>
        <v>0</v>
      </c>
      <c r="V696" s="306">
        <f t="shared" ca="1" si="293"/>
        <v>1.2255511321917789</v>
      </c>
      <c r="W696" s="304">
        <f t="shared" ca="1" si="294"/>
        <v>59.199976214521705</v>
      </c>
      <c r="Y696" s="314" t="str">
        <f t="shared" ca="1" si="312"/>
        <v/>
      </c>
      <c r="Z696" s="315" t="str">
        <f t="shared" ca="1" si="313"/>
        <v/>
      </c>
      <c r="AA696" s="316" t="str">
        <f t="shared" ca="1" si="314"/>
        <v/>
      </c>
      <c r="AC696" s="310" t="e">
        <f t="shared" ca="1" si="315"/>
        <v>#N/A</v>
      </c>
      <c r="AD696" s="323" t="e">
        <f t="shared" ca="1" si="316"/>
        <v>#N/A</v>
      </c>
      <c r="AE696" s="324" t="e">
        <f t="shared" ca="1" si="295"/>
        <v>#N/A</v>
      </c>
      <c r="AG696" s="306">
        <f t="shared" ca="1" si="317"/>
        <v>2.3412336122442845</v>
      </c>
      <c r="AH696" s="304">
        <f t="shared" ca="1" si="318"/>
        <v>-7.4212956930847636</v>
      </c>
    </row>
    <row r="697" spans="1:34" x14ac:dyDescent="0.2">
      <c r="A697" s="347">
        <f t="shared" ca="1" si="296"/>
        <v>1E-4</v>
      </c>
      <c r="B697" s="304">
        <f t="shared" ca="1" si="297"/>
        <v>33.617700000000795</v>
      </c>
      <c r="D697" s="306">
        <f t="shared" ca="1" si="298"/>
        <v>-0.72919838189305131</v>
      </c>
      <c r="E697" s="307">
        <f t="shared" ca="1" si="299"/>
        <v>-2.4245779698485821</v>
      </c>
      <c r="F697" s="304">
        <f t="shared" ca="1" si="300"/>
        <v>2.5318587267125543</v>
      </c>
      <c r="G697" s="306">
        <f t="shared" ca="1" si="301"/>
        <v>11.881993839636463</v>
      </c>
      <c r="H697" s="307">
        <f t="shared" ca="1" si="302"/>
        <v>-120.34345740204579</v>
      </c>
      <c r="I697" s="304">
        <f t="shared" ca="1" si="303"/>
        <v>120.92861331001512</v>
      </c>
      <c r="J697" s="306">
        <f t="shared" ca="1" si="304"/>
        <v>755.70453742140728</v>
      </c>
      <c r="K697" s="307">
        <f t="shared" ca="1" si="305"/>
        <v>-4.5100607941878312</v>
      </c>
      <c r="L697" s="304">
        <f t="shared" ca="1" si="290"/>
        <v>755.7179953710712</v>
      </c>
      <c r="M697" s="306">
        <f t="shared" ca="1" si="306"/>
        <v>-1.4723812721299288</v>
      </c>
      <c r="N697" s="304">
        <f t="shared" ca="1" si="307"/>
        <v>-84.361232727148064</v>
      </c>
      <c r="P697" s="310">
        <f t="shared" ca="1" si="308"/>
        <v>23</v>
      </c>
      <c r="Q697" s="304">
        <f t="shared" ca="1" si="309"/>
        <v>0</v>
      </c>
      <c r="R697" s="306">
        <f t="shared" ca="1" si="310"/>
        <v>0</v>
      </c>
      <c r="S697" s="307">
        <f t="shared" ca="1" si="311"/>
        <v>7.9769999999999968</v>
      </c>
      <c r="T697" s="304">
        <f t="shared" ca="1" si="291"/>
        <v>78.254369999999966</v>
      </c>
      <c r="U697" s="311">
        <f t="shared" ca="1" si="292"/>
        <v>0</v>
      </c>
      <c r="V697" s="306">
        <f t="shared" ca="1" si="293"/>
        <v>1.2255526070618605</v>
      </c>
      <c r="W697" s="304">
        <f t="shared" ca="1" si="294"/>
        <v>59.200276682918393</v>
      </c>
      <c r="Y697" s="314" t="str">
        <f t="shared" ca="1" si="312"/>
        <v/>
      </c>
      <c r="Z697" s="315" t="str">
        <f t="shared" ca="1" si="313"/>
        <v/>
      </c>
      <c r="AA697" s="316" t="str">
        <f t="shared" ca="1" si="314"/>
        <v/>
      </c>
      <c r="AC697" s="310" t="e">
        <f t="shared" ca="1" si="315"/>
        <v>#N/A</v>
      </c>
      <c r="AD697" s="323" t="e">
        <f t="shared" ca="1" si="316"/>
        <v>#N/A</v>
      </c>
      <c r="AE697" s="324" t="e">
        <f t="shared" ca="1" si="295"/>
        <v>#N/A</v>
      </c>
      <c r="AG697" s="306">
        <f t="shared" ca="1" si="317"/>
        <v>2.3411967134239173</v>
      </c>
      <c r="AH697" s="304">
        <f t="shared" ca="1" si="318"/>
        <v>-7.4213333602258658</v>
      </c>
    </row>
    <row r="698" spans="1:34" x14ac:dyDescent="0.2">
      <c r="A698" s="347">
        <f t="shared" ca="1" si="296"/>
        <v>1E-4</v>
      </c>
      <c r="B698" s="304">
        <f t="shared" ca="1" si="297"/>
        <v>33.617800000000798</v>
      </c>
      <c r="D698" s="306">
        <f t="shared" ca="1" si="298"/>
        <v>-0.72919619609969566</v>
      </c>
      <c r="E698" s="307">
        <f t="shared" ca="1" si="299"/>
        <v>-2.4245399040416951</v>
      </c>
      <c r="F698" s="304">
        <f t="shared" ca="1" si="300"/>
        <v>2.5318216443297854</v>
      </c>
      <c r="G698" s="306">
        <f t="shared" ca="1" si="301"/>
        <v>11.881920920016853</v>
      </c>
      <c r="H698" s="307">
        <f t="shared" ca="1" si="302"/>
        <v>-120.3436998560362</v>
      </c>
      <c r="I698" s="304">
        <f t="shared" ca="1" si="303"/>
        <v>120.92884742603503</v>
      </c>
      <c r="J698" s="306">
        <f t="shared" ca="1" si="304"/>
        <v>755.70453742140728</v>
      </c>
      <c r="K698" s="307">
        <f t="shared" ca="1" si="305"/>
        <v>-4.5220951520507358</v>
      </c>
      <c r="L698" s="304">
        <f t="shared" ca="1" si="290"/>
        <v>755.7180672869132</v>
      </c>
      <c r="M698" s="306">
        <f t="shared" ca="1" si="306"/>
        <v>-1.472382069205215</v>
      </c>
      <c r="N698" s="304">
        <f t="shared" ca="1" si="307"/>
        <v>-84.361278396197918</v>
      </c>
      <c r="P698" s="310">
        <f t="shared" ca="1" si="308"/>
        <v>23</v>
      </c>
      <c r="Q698" s="304">
        <f t="shared" ca="1" si="309"/>
        <v>0</v>
      </c>
      <c r="R698" s="306">
        <f t="shared" ca="1" si="310"/>
        <v>0</v>
      </c>
      <c r="S698" s="307">
        <f t="shared" ca="1" si="311"/>
        <v>7.9769999999999968</v>
      </c>
      <c r="T698" s="304">
        <f t="shared" ca="1" si="291"/>
        <v>78.254369999999966</v>
      </c>
      <c r="U698" s="311">
        <f t="shared" ca="1" si="292"/>
        <v>0</v>
      </c>
      <c r="V698" s="306">
        <f t="shared" ca="1" si="293"/>
        <v>1.2255540819366881</v>
      </c>
      <c r="W698" s="304">
        <f t="shared" ca="1" si="294"/>
        <v>59.200577148927103</v>
      </c>
      <c r="Y698" s="314" t="str">
        <f t="shared" ca="1" si="312"/>
        <v/>
      </c>
      <c r="Z698" s="315" t="str">
        <f t="shared" ca="1" si="313"/>
        <v/>
      </c>
      <c r="AA698" s="316" t="str">
        <f t="shared" ca="1" si="314"/>
        <v/>
      </c>
      <c r="AC698" s="310" t="e">
        <f t="shared" ca="1" si="315"/>
        <v>#N/A</v>
      </c>
      <c r="AD698" s="323" t="e">
        <f t="shared" ca="1" si="316"/>
        <v>#N/A</v>
      </c>
      <c r="AE698" s="324" t="e">
        <f t="shared" ca="1" si="295"/>
        <v>#N/A</v>
      </c>
      <c r="AG698" s="306">
        <f t="shared" ca="1" si="317"/>
        <v>2.3411598148890036</v>
      </c>
      <c r="AH698" s="304">
        <f t="shared" ca="1" si="318"/>
        <v>-7.4213710270676216</v>
      </c>
    </row>
    <row r="699" spans="1:34" x14ac:dyDescent="0.2">
      <c r="A699" s="347">
        <f t="shared" ca="1" si="296"/>
        <v>1E-4</v>
      </c>
      <c r="B699" s="304">
        <f t="shared" ca="1" si="297"/>
        <v>33.617900000000802</v>
      </c>
      <c r="D699" s="306">
        <f t="shared" ca="1" si="298"/>
        <v>-0.72919401027562669</v>
      </c>
      <c r="E699" s="307">
        <f t="shared" ca="1" si="299"/>
        <v>-2.4245018385373269</v>
      </c>
      <c r="F699" s="304">
        <f t="shared" ca="1" si="300"/>
        <v>2.5317845622589474</v>
      </c>
      <c r="G699" s="306">
        <f t="shared" ca="1" si="301"/>
        <v>11.881848000615825</v>
      </c>
      <c r="H699" s="307">
        <f t="shared" ca="1" si="302"/>
        <v>-120.34394230622004</v>
      </c>
      <c r="I699" s="304">
        <f t="shared" ca="1" si="303"/>
        <v>120.92908153836511</v>
      </c>
      <c r="J699" s="306">
        <f t="shared" ca="1" si="304"/>
        <v>755.70453742140728</v>
      </c>
      <c r="K699" s="307">
        <f t="shared" ca="1" si="305"/>
        <v>-4.5341295341588488</v>
      </c>
      <c r="L699" s="304">
        <f t="shared" ca="1" si="290"/>
        <v>755.71813939453352</v>
      </c>
      <c r="M699" s="306">
        <f t="shared" ca="1" si="306"/>
        <v>-1.4723828662725233</v>
      </c>
      <c r="N699" s="304">
        <f t="shared" ca="1" si="307"/>
        <v>-84.361324064790679</v>
      </c>
      <c r="P699" s="310">
        <f t="shared" ca="1" si="308"/>
        <v>23</v>
      </c>
      <c r="Q699" s="304">
        <f t="shared" ca="1" si="309"/>
        <v>0</v>
      </c>
      <c r="R699" s="306">
        <f t="shared" ca="1" si="310"/>
        <v>0</v>
      </c>
      <c r="S699" s="307">
        <f t="shared" ca="1" si="311"/>
        <v>7.9769999999999968</v>
      </c>
      <c r="T699" s="304">
        <f t="shared" ca="1" si="291"/>
        <v>78.254369999999966</v>
      </c>
      <c r="U699" s="311">
        <f t="shared" ca="1" si="292"/>
        <v>0</v>
      </c>
      <c r="V699" s="306">
        <f t="shared" ca="1" si="293"/>
        <v>1.225555556816263</v>
      </c>
      <c r="W699" s="304">
        <f t="shared" ca="1" si="294"/>
        <v>59.200877612547899</v>
      </c>
      <c r="Y699" s="314" t="str">
        <f t="shared" ca="1" si="312"/>
        <v/>
      </c>
      <c r="Z699" s="315" t="str">
        <f t="shared" ca="1" si="313"/>
        <v/>
      </c>
      <c r="AA699" s="316" t="str">
        <f t="shared" ca="1" si="314"/>
        <v/>
      </c>
      <c r="AC699" s="310" t="e">
        <f t="shared" ca="1" si="315"/>
        <v>#N/A</v>
      </c>
      <c r="AD699" s="323" t="e">
        <f t="shared" ca="1" si="316"/>
        <v>#N/A</v>
      </c>
      <c r="AE699" s="324" t="e">
        <f t="shared" ca="1" si="295"/>
        <v>#N/A</v>
      </c>
      <c r="AG699" s="306">
        <f t="shared" ca="1" si="317"/>
        <v>2.3411229166395549</v>
      </c>
      <c r="AH699" s="304">
        <f t="shared" ca="1" si="318"/>
        <v>-7.4214086936100196</v>
      </c>
    </row>
    <row r="700" spans="1:34" x14ac:dyDescent="0.2">
      <c r="A700" s="347">
        <f t="shared" ca="1" si="296"/>
        <v>1E-4</v>
      </c>
      <c r="B700" s="304">
        <f t="shared" ca="1" si="297"/>
        <v>33.618000000000805</v>
      </c>
      <c r="D700" s="306">
        <f t="shared" ca="1" si="298"/>
        <v>-0.72919182442084696</v>
      </c>
      <c r="E700" s="307">
        <f t="shared" ca="1" si="299"/>
        <v>-2.4244637733354706</v>
      </c>
      <c r="F700" s="304">
        <f t="shared" ca="1" si="300"/>
        <v>2.5317474805000342</v>
      </c>
      <c r="G700" s="306">
        <f t="shared" ca="1" si="301"/>
        <v>11.881775081433384</v>
      </c>
      <c r="H700" s="307">
        <f t="shared" ca="1" si="302"/>
        <v>-120.34418475259737</v>
      </c>
      <c r="I700" s="304">
        <f t="shared" ca="1" si="303"/>
        <v>120.92931564700538</v>
      </c>
      <c r="J700" s="306">
        <f t="shared" ca="1" si="304"/>
        <v>755.70453742140728</v>
      </c>
      <c r="K700" s="307">
        <f t="shared" ca="1" si="305"/>
        <v>-4.5461639405117893</v>
      </c>
      <c r="L700" s="304">
        <f t="shared" ca="1" si="290"/>
        <v>755.71821169393365</v>
      </c>
      <c r="M700" s="306">
        <f t="shared" ca="1" si="306"/>
        <v>-1.4723836633318541</v>
      </c>
      <c r="N700" s="304">
        <f t="shared" ca="1" si="307"/>
        <v>-84.361369732926349</v>
      </c>
      <c r="P700" s="310">
        <f t="shared" ca="1" si="308"/>
        <v>23</v>
      </c>
      <c r="Q700" s="304">
        <f t="shared" ca="1" si="309"/>
        <v>0</v>
      </c>
      <c r="R700" s="306">
        <f t="shared" ca="1" si="310"/>
        <v>0</v>
      </c>
      <c r="S700" s="307">
        <f t="shared" ca="1" si="311"/>
        <v>7.9769999999999968</v>
      </c>
      <c r="T700" s="304">
        <f t="shared" ca="1" si="291"/>
        <v>78.254369999999966</v>
      </c>
      <c r="U700" s="311">
        <f t="shared" ca="1" si="292"/>
        <v>0</v>
      </c>
      <c r="V700" s="306">
        <f t="shared" ca="1" si="293"/>
        <v>1.2255570317005844</v>
      </c>
      <c r="W700" s="304">
        <f t="shared" ca="1" si="294"/>
        <v>59.201178073780738</v>
      </c>
      <c r="Y700" s="314" t="str">
        <f t="shared" ca="1" si="312"/>
        <v/>
      </c>
      <c r="Z700" s="315" t="str">
        <f t="shared" ca="1" si="313"/>
        <v/>
      </c>
      <c r="AA700" s="316" t="str">
        <f t="shared" ca="1" si="314"/>
        <v/>
      </c>
      <c r="AC700" s="310" t="e">
        <f t="shared" ca="1" si="315"/>
        <v>#N/A</v>
      </c>
      <c r="AD700" s="323" t="e">
        <f t="shared" ca="1" si="316"/>
        <v>#N/A</v>
      </c>
      <c r="AE700" s="324" t="e">
        <f t="shared" ca="1" si="295"/>
        <v>#N/A</v>
      </c>
      <c r="AG700" s="306">
        <f t="shared" ca="1" si="317"/>
        <v>2.3410860186755666</v>
      </c>
      <c r="AH700" s="304">
        <f t="shared" ca="1" si="318"/>
        <v>-7.4214463598530678</v>
      </c>
    </row>
    <row r="701" spans="1:34" x14ac:dyDescent="0.2">
      <c r="A701" s="347">
        <f t="shared" ca="1" si="296"/>
        <v>1E-4</v>
      </c>
      <c r="B701" s="304">
        <f t="shared" ca="1" si="297"/>
        <v>33.618100000000808</v>
      </c>
      <c r="D701" s="306">
        <f t="shared" ca="1" si="298"/>
        <v>-0.72918963853535601</v>
      </c>
      <c r="E701" s="307">
        <f t="shared" ca="1" si="299"/>
        <v>-2.4244257084361305</v>
      </c>
      <c r="F701" s="304">
        <f t="shared" ca="1" si="300"/>
        <v>2.5317103990530505</v>
      </c>
      <c r="G701" s="306">
        <f t="shared" ca="1" si="301"/>
        <v>11.88170216246953</v>
      </c>
      <c r="H701" s="307">
        <f t="shared" ca="1" si="302"/>
        <v>-120.34442719516821</v>
      </c>
      <c r="I701" s="304">
        <f t="shared" ca="1" si="303"/>
        <v>120.92954975195588</v>
      </c>
      <c r="J701" s="306">
        <f t="shared" ca="1" si="304"/>
        <v>755.70453742140728</v>
      </c>
      <c r="K701" s="307">
        <f t="shared" ca="1" si="305"/>
        <v>-4.5581983711091771</v>
      </c>
      <c r="L701" s="304">
        <f t="shared" ca="1" si="290"/>
        <v>755.7182841851145</v>
      </c>
      <c r="M701" s="306">
        <f t="shared" ca="1" si="306"/>
        <v>-1.472384460383207</v>
      </c>
      <c r="N701" s="304">
        <f t="shared" ca="1" si="307"/>
        <v>-84.361415400604926</v>
      </c>
      <c r="P701" s="310">
        <f t="shared" ca="1" si="308"/>
        <v>23</v>
      </c>
      <c r="Q701" s="304">
        <f t="shared" ca="1" si="309"/>
        <v>0</v>
      </c>
      <c r="R701" s="306">
        <f t="shared" ca="1" si="310"/>
        <v>0</v>
      </c>
      <c r="S701" s="307">
        <f t="shared" ca="1" si="311"/>
        <v>7.9769999999999968</v>
      </c>
      <c r="T701" s="304">
        <f t="shared" ca="1" si="291"/>
        <v>78.254369999999966</v>
      </c>
      <c r="U701" s="311">
        <f t="shared" ca="1" si="292"/>
        <v>0</v>
      </c>
      <c r="V701" s="306">
        <f t="shared" ca="1" si="293"/>
        <v>1.2255585065896524</v>
      </c>
      <c r="W701" s="304">
        <f t="shared" ca="1" si="294"/>
        <v>59.201478532625615</v>
      </c>
      <c r="Y701" s="314" t="str">
        <f t="shared" ca="1" si="312"/>
        <v/>
      </c>
      <c r="Z701" s="315" t="str">
        <f t="shared" ca="1" si="313"/>
        <v/>
      </c>
      <c r="AA701" s="316" t="str">
        <f t="shared" ca="1" si="314"/>
        <v/>
      </c>
      <c r="AC701" s="310" t="e">
        <f t="shared" ca="1" si="315"/>
        <v>#N/A</v>
      </c>
      <c r="AD701" s="323" t="e">
        <f t="shared" ca="1" si="316"/>
        <v>#N/A</v>
      </c>
      <c r="AE701" s="324" t="e">
        <f t="shared" ca="1" si="295"/>
        <v>#N/A</v>
      </c>
      <c r="AG701" s="306">
        <f t="shared" ca="1" si="317"/>
        <v>2.341049120997039</v>
      </c>
      <c r="AH701" s="304">
        <f t="shared" ca="1" si="318"/>
        <v>-7.4214840257967607</v>
      </c>
    </row>
    <row r="702" spans="1:34" x14ac:dyDescent="0.2">
      <c r="A702" s="347">
        <f t="shared" ca="1" si="296"/>
        <v>1E-4</v>
      </c>
      <c r="B702" s="304">
        <f t="shared" ca="1" si="297"/>
        <v>33.618200000000812</v>
      </c>
      <c r="D702" s="306">
        <f t="shared" ca="1" si="298"/>
        <v>-0.72918745261915696</v>
      </c>
      <c r="E702" s="307">
        <f t="shared" ca="1" si="299"/>
        <v>-2.4243876438393066</v>
      </c>
      <c r="F702" s="304">
        <f t="shared" ca="1" si="300"/>
        <v>2.5316733179179973</v>
      </c>
      <c r="G702" s="306">
        <f t="shared" ca="1" si="301"/>
        <v>11.881629243724268</v>
      </c>
      <c r="H702" s="307">
        <f t="shared" ca="1" si="302"/>
        <v>-120.3446696339326</v>
      </c>
      <c r="I702" s="304">
        <f t="shared" ca="1" si="303"/>
        <v>120.92978385321666</v>
      </c>
      <c r="J702" s="306">
        <f t="shared" ca="1" si="304"/>
        <v>755.70453742140728</v>
      </c>
      <c r="K702" s="307">
        <f t="shared" ca="1" si="305"/>
        <v>-4.5702328259506322</v>
      </c>
      <c r="L702" s="304">
        <f t="shared" ca="1" si="290"/>
        <v>755.71835686807731</v>
      </c>
      <c r="M702" s="306">
        <f t="shared" ca="1" si="306"/>
        <v>-1.4723852574265828</v>
      </c>
      <c r="N702" s="304">
        <f t="shared" ca="1" si="307"/>
        <v>-84.36146106782644</v>
      </c>
      <c r="P702" s="310">
        <f t="shared" ca="1" si="308"/>
        <v>23</v>
      </c>
      <c r="Q702" s="304">
        <f t="shared" ca="1" si="309"/>
        <v>0</v>
      </c>
      <c r="R702" s="306">
        <f t="shared" ca="1" si="310"/>
        <v>0</v>
      </c>
      <c r="S702" s="307">
        <f t="shared" ca="1" si="311"/>
        <v>7.9769999999999968</v>
      </c>
      <c r="T702" s="304">
        <f t="shared" ca="1" si="291"/>
        <v>78.254369999999966</v>
      </c>
      <c r="U702" s="311">
        <f t="shared" ca="1" si="292"/>
        <v>0</v>
      </c>
      <c r="V702" s="306">
        <f t="shared" ca="1" si="293"/>
        <v>1.2255599814834668</v>
      </c>
      <c r="W702" s="304">
        <f t="shared" ca="1" si="294"/>
        <v>59.20177898908257</v>
      </c>
      <c r="Y702" s="314" t="str">
        <f t="shared" ca="1" si="312"/>
        <v/>
      </c>
      <c r="Z702" s="315" t="str">
        <f t="shared" ca="1" si="313"/>
        <v/>
      </c>
      <c r="AA702" s="316" t="str">
        <f t="shared" ca="1" si="314"/>
        <v/>
      </c>
      <c r="AC702" s="310" t="e">
        <f t="shared" ca="1" si="315"/>
        <v>#N/A</v>
      </c>
      <c r="AD702" s="323" t="e">
        <f t="shared" ca="1" si="316"/>
        <v>#N/A</v>
      </c>
      <c r="AE702" s="324" t="e">
        <f t="shared" ca="1" si="295"/>
        <v>#N/A</v>
      </c>
      <c r="AG702" s="306">
        <f t="shared" ca="1" si="317"/>
        <v>2.3410122236039754</v>
      </c>
      <c r="AH702" s="304">
        <f t="shared" ca="1" si="318"/>
        <v>-7.4215216914410984</v>
      </c>
    </row>
    <row r="703" spans="1:34" x14ac:dyDescent="0.2">
      <c r="A703" s="347">
        <f t="shared" ca="1" si="296"/>
        <v>1E-4</v>
      </c>
      <c r="B703" s="304">
        <f t="shared" ca="1" si="297"/>
        <v>33.618300000000815</v>
      </c>
      <c r="D703" s="306">
        <f t="shared" ca="1" si="298"/>
        <v>-0.72918526667224681</v>
      </c>
      <c r="E703" s="307">
        <f t="shared" ca="1" si="299"/>
        <v>-2.4243495795449945</v>
      </c>
      <c r="F703" s="304">
        <f t="shared" ca="1" si="300"/>
        <v>2.5316362370948688</v>
      </c>
      <c r="G703" s="306">
        <f t="shared" ca="1" si="301"/>
        <v>11.8815563251976</v>
      </c>
      <c r="H703" s="307">
        <f t="shared" ca="1" si="302"/>
        <v>-120.34491206889055</v>
      </c>
      <c r="I703" s="304">
        <f t="shared" ca="1" si="303"/>
        <v>120.93001795078773</v>
      </c>
      <c r="J703" s="306">
        <f t="shared" ca="1" si="304"/>
        <v>755.70453742140728</v>
      </c>
      <c r="K703" s="307">
        <f t="shared" ca="1" si="305"/>
        <v>-4.5822673050357734</v>
      </c>
      <c r="L703" s="304">
        <f t="shared" ca="1" si="290"/>
        <v>755.71842974282288</v>
      </c>
      <c r="M703" s="306">
        <f t="shared" ca="1" si="306"/>
        <v>-1.4723860544619809</v>
      </c>
      <c r="N703" s="304">
        <f t="shared" ca="1" si="307"/>
        <v>-84.361506734590876</v>
      </c>
      <c r="P703" s="310">
        <f t="shared" ca="1" si="308"/>
        <v>23</v>
      </c>
      <c r="Q703" s="304">
        <f t="shared" ca="1" si="309"/>
        <v>0</v>
      </c>
      <c r="R703" s="306">
        <f t="shared" ca="1" si="310"/>
        <v>0</v>
      </c>
      <c r="S703" s="307">
        <f t="shared" ca="1" si="311"/>
        <v>7.9769999999999968</v>
      </c>
      <c r="T703" s="304">
        <f t="shared" ca="1" si="291"/>
        <v>78.254369999999966</v>
      </c>
      <c r="U703" s="311">
        <f t="shared" ca="1" si="292"/>
        <v>0</v>
      </c>
      <c r="V703" s="306">
        <f t="shared" ca="1" si="293"/>
        <v>1.2255614563820281</v>
      </c>
      <c r="W703" s="304">
        <f t="shared" ca="1" si="294"/>
        <v>59.202079443151561</v>
      </c>
      <c r="Y703" s="314" t="str">
        <f t="shared" ca="1" si="312"/>
        <v/>
      </c>
      <c r="Z703" s="315" t="str">
        <f t="shared" ca="1" si="313"/>
        <v/>
      </c>
      <c r="AA703" s="316" t="str">
        <f t="shared" ca="1" si="314"/>
        <v/>
      </c>
      <c r="AC703" s="310" t="e">
        <f t="shared" ca="1" si="315"/>
        <v>#N/A</v>
      </c>
      <c r="AD703" s="323" t="e">
        <f t="shared" ca="1" si="316"/>
        <v>#N/A</v>
      </c>
      <c r="AE703" s="324" t="e">
        <f t="shared" ca="1" si="295"/>
        <v>#N/A</v>
      </c>
      <c r="AG703" s="306">
        <f t="shared" ca="1" si="317"/>
        <v>2.3409753264963742</v>
      </c>
      <c r="AH703" s="304">
        <f t="shared" ca="1" si="318"/>
        <v>-7.4215593567860845</v>
      </c>
    </row>
    <row r="704" spans="1:34" x14ac:dyDescent="0.2">
      <c r="A704" s="347">
        <f t="shared" ca="1" si="296"/>
        <v>1E-4</v>
      </c>
      <c r="B704" s="304">
        <f t="shared" ca="1" si="297"/>
        <v>33.618400000000818</v>
      </c>
      <c r="D704" s="306">
        <f t="shared" ca="1" si="298"/>
        <v>-0.72918308069463023</v>
      </c>
      <c r="E704" s="307">
        <f t="shared" ca="1" si="299"/>
        <v>-2.4243115155532013</v>
      </c>
      <c r="F704" s="304">
        <f t="shared" ca="1" si="300"/>
        <v>2.5315991565836744</v>
      </c>
      <c r="G704" s="306">
        <f t="shared" ca="1" si="301"/>
        <v>11.881483406889531</v>
      </c>
      <c r="H704" s="307">
        <f t="shared" ca="1" si="302"/>
        <v>-120.3451545000421</v>
      </c>
      <c r="I704" s="304">
        <f t="shared" ca="1" si="303"/>
        <v>120.93025204466909</v>
      </c>
      <c r="J704" s="306">
        <f t="shared" ca="1" si="304"/>
        <v>755.70453742140728</v>
      </c>
      <c r="K704" s="307">
        <f t="shared" ca="1" si="305"/>
        <v>-4.5943018083642198</v>
      </c>
      <c r="L704" s="304">
        <f t="shared" ca="1" si="290"/>
        <v>755.71850280935257</v>
      </c>
      <c r="M704" s="306">
        <f t="shared" ca="1" si="306"/>
        <v>-1.4723868514894018</v>
      </c>
      <c r="N704" s="304">
        <f t="shared" ca="1" si="307"/>
        <v>-84.361552400898262</v>
      </c>
      <c r="P704" s="310">
        <f t="shared" ca="1" si="308"/>
        <v>23</v>
      </c>
      <c r="Q704" s="304">
        <f t="shared" ca="1" si="309"/>
        <v>0</v>
      </c>
      <c r="R704" s="306">
        <f t="shared" ca="1" si="310"/>
        <v>0</v>
      </c>
      <c r="S704" s="307">
        <f t="shared" ca="1" si="311"/>
        <v>7.9769999999999968</v>
      </c>
      <c r="T704" s="304">
        <f t="shared" ca="1" si="291"/>
        <v>78.254369999999966</v>
      </c>
      <c r="U704" s="311">
        <f t="shared" ca="1" si="292"/>
        <v>0</v>
      </c>
      <c r="V704" s="306">
        <f t="shared" ca="1" si="293"/>
        <v>1.2255629312853358</v>
      </c>
      <c r="W704" s="304">
        <f t="shared" ca="1" si="294"/>
        <v>59.202379894832582</v>
      </c>
      <c r="Y704" s="314" t="str">
        <f t="shared" ca="1" si="312"/>
        <v/>
      </c>
      <c r="Z704" s="315" t="str">
        <f t="shared" ca="1" si="313"/>
        <v/>
      </c>
      <c r="AA704" s="316" t="str">
        <f t="shared" ca="1" si="314"/>
        <v/>
      </c>
      <c r="AC704" s="310" t="e">
        <f t="shared" ca="1" si="315"/>
        <v>#N/A</v>
      </c>
      <c r="AD704" s="323" t="e">
        <f t="shared" ca="1" si="316"/>
        <v>#N/A</v>
      </c>
      <c r="AE704" s="324" t="e">
        <f t="shared" ca="1" si="295"/>
        <v>#N/A</v>
      </c>
      <c r="AG704" s="306">
        <f t="shared" ca="1" si="317"/>
        <v>2.3409384296742362</v>
      </c>
      <c r="AH704" s="304">
        <f t="shared" ca="1" si="318"/>
        <v>-7.4215970218317144</v>
      </c>
    </row>
    <row r="705" spans="1:34" x14ac:dyDescent="0.2">
      <c r="A705" s="347">
        <f t="shared" ca="1" si="296"/>
        <v>1E-4</v>
      </c>
      <c r="B705" s="304">
        <f t="shared" ca="1" si="297"/>
        <v>33.618500000000822</v>
      </c>
      <c r="D705" s="306">
        <f t="shared" ca="1" si="298"/>
        <v>-0.72918089468630543</v>
      </c>
      <c r="E705" s="307">
        <f t="shared" ca="1" si="299"/>
        <v>-2.4242734518639253</v>
      </c>
      <c r="F705" s="304">
        <f t="shared" ca="1" si="300"/>
        <v>2.5315620763844113</v>
      </c>
      <c r="G705" s="306">
        <f t="shared" ca="1" si="301"/>
        <v>11.881410488800062</v>
      </c>
      <c r="H705" s="307">
        <f t="shared" ca="1" si="302"/>
        <v>-120.34539692738728</v>
      </c>
      <c r="I705" s="304">
        <f t="shared" ca="1" si="303"/>
        <v>120.93048613486081</v>
      </c>
      <c r="J705" s="306">
        <f t="shared" ca="1" si="304"/>
        <v>755.70453742140728</v>
      </c>
      <c r="K705" s="307">
        <f t="shared" ca="1" si="305"/>
        <v>-4.6063363359355911</v>
      </c>
      <c r="L705" s="304">
        <f t="shared" ca="1" si="290"/>
        <v>755.71857606766753</v>
      </c>
      <c r="M705" s="306">
        <f t="shared" ca="1" si="306"/>
        <v>-1.4723876485088458</v>
      </c>
      <c r="N705" s="304">
        <f t="shared" ca="1" si="307"/>
        <v>-84.361598066748584</v>
      </c>
      <c r="P705" s="310">
        <f t="shared" ca="1" si="308"/>
        <v>23</v>
      </c>
      <c r="Q705" s="304">
        <f t="shared" ca="1" si="309"/>
        <v>0</v>
      </c>
      <c r="R705" s="306">
        <f t="shared" ca="1" si="310"/>
        <v>0</v>
      </c>
      <c r="S705" s="307">
        <f t="shared" ca="1" si="311"/>
        <v>7.9769999999999968</v>
      </c>
      <c r="T705" s="304">
        <f t="shared" ca="1" si="291"/>
        <v>78.254369999999966</v>
      </c>
      <c r="U705" s="311">
        <f t="shared" ca="1" si="292"/>
        <v>0</v>
      </c>
      <c r="V705" s="306">
        <f t="shared" ca="1" si="293"/>
        <v>1.2255644061933899</v>
      </c>
      <c r="W705" s="304">
        <f t="shared" ca="1" si="294"/>
        <v>59.202680344125639</v>
      </c>
      <c r="Y705" s="314" t="str">
        <f t="shared" ca="1" si="312"/>
        <v/>
      </c>
      <c r="Z705" s="315" t="str">
        <f t="shared" ca="1" si="313"/>
        <v/>
      </c>
      <c r="AA705" s="316" t="str">
        <f t="shared" ca="1" si="314"/>
        <v/>
      </c>
      <c r="AC705" s="310" t="e">
        <f t="shared" ca="1" si="315"/>
        <v>#N/A</v>
      </c>
      <c r="AD705" s="323" t="e">
        <f t="shared" ca="1" si="316"/>
        <v>#N/A</v>
      </c>
      <c r="AE705" s="324" t="e">
        <f t="shared" ca="1" si="295"/>
        <v>#N/A</v>
      </c>
      <c r="AG705" s="306">
        <f t="shared" ca="1" si="317"/>
        <v>2.3409015331375658</v>
      </c>
      <c r="AH705" s="304">
        <f t="shared" ca="1" si="318"/>
        <v>-7.4216346865779874</v>
      </c>
    </row>
    <row r="706" spans="1:34" x14ac:dyDescent="0.2">
      <c r="A706" s="347">
        <f t="shared" ca="1" si="296"/>
        <v>1E-4</v>
      </c>
      <c r="B706" s="304">
        <f t="shared" ca="1" si="297"/>
        <v>33.618600000000825</v>
      </c>
      <c r="D706" s="306">
        <f t="shared" ca="1" si="298"/>
        <v>-0.7291787086472723</v>
      </c>
      <c r="E706" s="307">
        <f t="shared" ca="1" si="299"/>
        <v>-2.4242353884771672</v>
      </c>
      <c r="F706" s="304">
        <f t="shared" ca="1" si="300"/>
        <v>2.531524996497081</v>
      </c>
      <c r="G706" s="306">
        <f t="shared" ca="1" si="301"/>
        <v>11.881337570929198</v>
      </c>
      <c r="H706" s="307">
        <f t="shared" ca="1" si="302"/>
        <v>-120.34563935092613</v>
      </c>
      <c r="I706" s="304">
        <f t="shared" ca="1" si="303"/>
        <v>120.93072022136292</v>
      </c>
      <c r="J706" s="306">
        <f t="shared" ca="1" si="304"/>
        <v>755.70453742140728</v>
      </c>
      <c r="K706" s="307">
        <f t="shared" ca="1" si="305"/>
        <v>-4.6183708877495064</v>
      </c>
      <c r="L706" s="304">
        <f t="shared" ca="1" si="290"/>
        <v>755.71864951776865</v>
      </c>
      <c r="M706" s="306">
        <f t="shared" ca="1" si="306"/>
        <v>-1.4723884455203127</v>
      </c>
      <c r="N706" s="304">
        <f t="shared" ca="1" si="307"/>
        <v>-84.361643732141857</v>
      </c>
      <c r="P706" s="310">
        <f t="shared" ca="1" si="308"/>
        <v>23</v>
      </c>
      <c r="Q706" s="304">
        <f t="shared" ca="1" si="309"/>
        <v>0</v>
      </c>
      <c r="R706" s="306">
        <f t="shared" ca="1" si="310"/>
        <v>0</v>
      </c>
      <c r="S706" s="307">
        <f t="shared" ca="1" si="311"/>
        <v>7.9769999999999968</v>
      </c>
      <c r="T706" s="304">
        <f t="shared" ca="1" si="291"/>
        <v>78.254369999999966</v>
      </c>
      <c r="U706" s="311">
        <f t="shared" ca="1" si="292"/>
        <v>0</v>
      </c>
      <c r="V706" s="306">
        <f t="shared" ca="1" si="293"/>
        <v>1.2255658811061909</v>
      </c>
      <c r="W706" s="304">
        <f t="shared" ca="1" si="294"/>
        <v>59.202980791030768</v>
      </c>
      <c r="Y706" s="314" t="str">
        <f t="shared" ca="1" si="312"/>
        <v/>
      </c>
      <c r="Z706" s="315" t="str">
        <f t="shared" ca="1" si="313"/>
        <v/>
      </c>
      <c r="AA706" s="316" t="str">
        <f t="shared" ca="1" si="314"/>
        <v/>
      </c>
      <c r="AC706" s="310" t="e">
        <f t="shared" ca="1" si="315"/>
        <v>#N/A</v>
      </c>
      <c r="AD706" s="323" t="e">
        <f t="shared" ca="1" si="316"/>
        <v>#N/A</v>
      </c>
      <c r="AE706" s="324" t="e">
        <f t="shared" ca="1" si="295"/>
        <v>#N/A</v>
      </c>
      <c r="AG706" s="306">
        <f t="shared" ca="1" si="317"/>
        <v>2.3408646368863604</v>
      </c>
      <c r="AH706" s="304">
        <f t="shared" ca="1" si="318"/>
        <v>-7.4216723510249043</v>
      </c>
    </row>
    <row r="707" spans="1:34" x14ac:dyDescent="0.2">
      <c r="A707" s="347">
        <f t="shared" ca="1" si="296"/>
        <v>1E-4</v>
      </c>
      <c r="B707" s="304">
        <f t="shared" ca="1" si="297"/>
        <v>33.618700000000828</v>
      </c>
      <c r="D707" s="306">
        <f t="shared" ca="1" si="298"/>
        <v>-0.72917652257753474</v>
      </c>
      <c r="E707" s="307">
        <f t="shared" ca="1" si="299"/>
        <v>-2.4241973253929219</v>
      </c>
      <c r="F707" s="304">
        <f t="shared" ca="1" si="300"/>
        <v>2.5314879169216793</v>
      </c>
      <c r="G707" s="306">
        <f t="shared" ca="1" si="301"/>
        <v>11.88126465327694</v>
      </c>
      <c r="H707" s="307">
        <f t="shared" ca="1" si="302"/>
        <v>-120.34588177065868</v>
      </c>
      <c r="I707" s="304">
        <f t="shared" ca="1" si="303"/>
        <v>120.93095430417543</v>
      </c>
      <c r="J707" s="306">
        <f t="shared" ca="1" si="304"/>
        <v>755.70453742140728</v>
      </c>
      <c r="K707" s="307">
        <f t="shared" ca="1" si="305"/>
        <v>-4.6304054638055856</v>
      </c>
      <c r="L707" s="304">
        <f t="shared" ca="1" si="290"/>
        <v>755.71872315965709</v>
      </c>
      <c r="M707" s="306">
        <f t="shared" ca="1" si="306"/>
        <v>-1.4723892425238028</v>
      </c>
      <c r="N707" s="304">
        <f t="shared" ca="1" si="307"/>
        <v>-84.361689397078095</v>
      </c>
      <c r="P707" s="310">
        <f t="shared" ca="1" si="308"/>
        <v>23</v>
      </c>
      <c r="Q707" s="304">
        <f t="shared" ca="1" si="309"/>
        <v>0</v>
      </c>
      <c r="R707" s="306">
        <f t="shared" ca="1" si="310"/>
        <v>0</v>
      </c>
      <c r="S707" s="307">
        <f t="shared" ca="1" si="311"/>
        <v>7.9769999999999968</v>
      </c>
      <c r="T707" s="304">
        <f t="shared" ca="1" si="291"/>
        <v>78.254369999999966</v>
      </c>
      <c r="U707" s="311">
        <f t="shared" ca="1" si="292"/>
        <v>0</v>
      </c>
      <c r="V707" s="306">
        <f t="shared" ca="1" si="293"/>
        <v>1.2255673560237379</v>
      </c>
      <c r="W707" s="304">
        <f t="shared" ca="1" si="294"/>
        <v>59.203281235547912</v>
      </c>
      <c r="Y707" s="314" t="str">
        <f t="shared" ca="1" si="312"/>
        <v/>
      </c>
      <c r="Z707" s="315" t="str">
        <f t="shared" ca="1" si="313"/>
        <v/>
      </c>
      <c r="AA707" s="316" t="str">
        <f t="shared" ca="1" si="314"/>
        <v/>
      </c>
      <c r="AC707" s="310" t="e">
        <f t="shared" ca="1" si="315"/>
        <v>#N/A</v>
      </c>
      <c r="AD707" s="323" t="e">
        <f t="shared" ca="1" si="316"/>
        <v>#N/A</v>
      </c>
      <c r="AE707" s="324" t="e">
        <f t="shared" ca="1" si="295"/>
        <v>#N/A</v>
      </c>
      <c r="AG707" s="306">
        <f t="shared" ca="1" si="317"/>
        <v>2.3408277409206173</v>
      </c>
      <c r="AH707" s="304">
        <f t="shared" ca="1" si="318"/>
        <v>-7.4217100151724695</v>
      </c>
    </row>
    <row r="708" spans="1:34" x14ac:dyDescent="0.2">
      <c r="A708" s="347">
        <f t="shared" ca="1" si="296"/>
        <v>1E-4</v>
      </c>
      <c r="B708" s="304">
        <f t="shared" ca="1" si="297"/>
        <v>33.618800000000832</v>
      </c>
      <c r="D708" s="306">
        <f t="shared" ca="1" si="298"/>
        <v>-0.72917433647709029</v>
      </c>
      <c r="E708" s="307">
        <f t="shared" ca="1" si="299"/>
        <v>-2.4241592626111963</v>
      </c>
      <c r="F708" s="304">
        <f t="shared" ca="1" si="300"/>
        <v>2.5314508376582121</v>
      </c>
      <c r="G708" s="306">
        <f t="shared" ca="1" si="301"/>
        <v>11.881191735843291</v>
      </c>
      <c r="H708" s="307">
        <f t="shared" ca="1" si="302"/>
        <v>-120.34612418658494</v>
      </c>
      <c r="I708" s="304">
        <f t="shared" ca="1" si="303"/>
        <v>120.93118838329836</v>
      </c>
      <c r="J708" s="306">
        <f t="shared" ca="1" si="304"/>
        <v>755.70453742140728</v>
      </c>
      <c r="K708" s="307">
        <f t="shared" ca="1" si="305"/>
        <v>-4.6424400641034476</v>
      </c>
      <c r="L708" s="304">
        <f t="shared" ref="L708:L771" ca="1" si="319">SQRT(pos_x^2+pos_z^2)</f>
        <v>755.71879699333397</v>
      </c>
      <c r="M708" s="306">
        <f t="shared" ca="1" si="306"/>
        <v>-1.4723900395193159</v>
      </c>
      <c r="N708" s="304">
        <f t="shared" ca="1" si="307"/>
        <v>-84.361735061557297</v>
      </c>
      <c r="P708" s="310">
        <f t="shared" ca="1" si="308"/>
        <v>23</v>
      </c>
      <c r="Q708" s="304">
        <f t="shared" ca="1" si="309"/>
        <v>0</v>
      </c>
      <c r="R708" s="306">
        <f t="shared" ca="1" si="310"/>
        <v>0</v>
      </c>
      <c r="S708" s="307">
        <f t="shared" ca="1" si="311"/>
        <v>7.9769999999999968</v>
      </c>
      <c r="T708" s="304">
        <f t="shared" ref="T708:T771" ca="1" si="320">m*g</f>
        <v>78.254369999999966</v>
      </c>
      <c r="U708" s="311">
        <f t="shared" ref="U708:U771" ca="1" si="321">IF(pos_xz&lt;L_rampe,Poids*COS(Beta),0)</f>
        <v>0</v>
      </c>
      <c r="V708" s="306">
        <f t="shared" ref="V708:V771" ca="1" si="322">Rho_moyen*(20000-Alt_rampe-pos_z)/(20000+Alt_rampe+pos_z)</f>
        <v>1.2255688309460315</v>
      </c>
      <c r="W708" s="304">
        <f t="shared" ref="W708:W771" ca="1" si="323">1/2*Rho*Sref*Cx*vit_xz^2</f>
        <v>59.203581677677079</v>
      </c>
      <c r="Y708" s="314" t="str">
        <f t="shared" ca="1" si="312"/>
        <v/>
      </c>
      <c r="Z708" s="315" t="str">
        <f t="shared" ca="1" si="313"/>
        <v/>
      </c>
      <c r="AA708" s="316" t="str">
        <f t="shared" ca="1" si="314"/>
        <v/>
      </c>
      <c r="AC708" s="310" t="e">
        <f t="shared" ca="1" si="315"/>
        <v>#N/A</v>
      </c>
      <c r="AD708" s="323" t="e">
        <f t="shared" ca="1" si="316"/>
        <v>#N/A</v>
      </c>
      <c r="AE708" s="324" t="e">
        <f t="shared" ref="AE708:AE771" ca="1" si="324">IF(t&lt;T_para, pos_z, NA())</f>
        <v>#N/A</v>
      </c>
      <c r="AG708" s="306">
        <f t="shared" ca="1" si="317"/>
        <v>2.3407908452403428</v>
      </c>
      <c r="AH708" s="304">
        <f t="shared" ca="1" si="318"/>
        <v>-7.4217476790206769</v>
      </c>
    </row>
    <row r="709" spans="1:34" x14ac:dyDescent="0.2">
      <c r="A709" s="347">
        <f t="shared" ref="A709:A772" ca="1" si="325">IF(B708+0.01&lt;=T_ini+ROUNDUP(Temps_fin_propu,0), 0.01, IF(K708&gt;0, 0.1, 0.0001))</f>
        <v>1E-4</v>
      </c>
      <c r="B709" s="304">
        <f t="shared" ref="B709:B772" ca="1" si="326">B708+pas</f>
        <v>33.618900000000835</v>
      </c>
      <c r="D709" s="306">
        <f t="shared" ref="D709:D772" ca="1" si="327">IF(AND(L708&lt;L_rampe,Poussee&lt;Poids*SIN(M708)),0,(-W708+Poussee)/m*COS(M708)-U708/m*SIN(M708))</f>
        <v>-0.72917215034594229</v>
      </c>
      <c r="E709" s="307">
        <f t="shared" ref="E709:E772" ca="1" si="328">IF(AND(L708&lt;L_rampe,Poussee&lt;Poids*SIN(M708)),0,(-W708+Poussee)/m*SIN(M708)+U708/m*COS(M708)-Poids/m)</f>
        <v>-2.4241212001319896</v>
      </c>
      <c r="F709" s="304">
        <f t="shared" ref="F709:F772" ca="1" si="329">SQRT(acc_x^2+acc_z^2)</f>
        <v>2.5314137587066803</v>
      </c>
      <c r="G709" s="306">
        <f t="shared" ref="G709:G772" ca="1" si="330">G708+acc_x*pas</f>
        <v>11.881118818628257</v>
      </c>
      <c r="H709" s="307">
        <f t="shared" ref="H709:H772" ca="1" si="331">H708+acc_z*pas</f>
        <v>-120.34636659870496</v>
      </c>
      <c r="I709" s="304">
        <f t="shared" ref="I709:I772" ca="1" si="332">SQRT(vit_x^2+vit_z^2)</f>
        <v>120.93142245873176</v>
      </c>
      <c r="J709" s="306">
        <f t="shared" ref="J709:J772" ca="1" si="333">J708+0.5*(vit_x+G708)*pas*(K708&gt;=0)</f>
        <v>755.70453742140728</v>
      </c>
      <c r="K709" s="307">
        <f t="shared" ref="K709:K772" ca="1" si="334">K708+0.5*(vit_z+H708)*pas</f>
        <v>-4.6544746886427122</v>
      </c>
      <c r="L709" s="304">
        <f t="shared" ca="1" si="319"/>
        <v>755.71887101880043</v>
      </c>
      <c r="M709" s="306">
        <f t="shared" ref="M709:M772" ca="1" si="335">IF(AND(L708&gt;L_rampe,G709&gt;0),ATAN2(G709,H709),$M$4)</f>
        <v>-1.4723908365068525</v>
      </c>
      <c r="N709" s="304">
        <f t="shared" ref="N709:N772" ca="1" si="336">DEGREES(Beta)</f>
        <v>-84.361780725579465</v>
      </c>
      <c r="P709" s="310">
        <f t="shared" ref="P709:P772" ca="1" si="337">MATCH(t-pas/2-T_ini,CdP_t)</f>
        <v>23</v>
      </c>
      <c r="Q709" s="304">
        <f t="shared" ref="Q709:Q772" ca="1" si="338">(INDEX(CdP,2,i_P+1)-INDEX(CdP,2,i_P+0))/(INDEX(CdP,1,i_P+1)-INDEX(CdP,1,i_P+0))*(t-pas/2-T_ini-INDEX(CdP,1,i_P+0))+INDEX(CdP,2,i_P+0)</f>
        <v>0</v>
      </c>
      <c r="R709" s="306">
        <f t="shared" ref="R709:R772" ca="1" si="339">Poussee/(g*ISP)</f>
        <v>0</v>
      </c>
      <c r="S709" s="307">
        <f t="shared" ref="S709:S772" ca="1" si="340">S708-Débit*pas</f>
        <v>7.9769999999999968</v>
      </c>
      <c r="T709" s="304">
        <f t="shared" ca="1" si="320"/>
        <v>78.254369999999966</v>
      </c>
      <c r="U709" s="311">
        <f t="shared" ca="1" si="321"/>
        <v>0</v>
      </c>
      <c r="V709" s="306">
        <f t="shared" ca="1" si="322"/>
        <v>1.2255703058730716</v>
      </c>
      <c r="W709" s="304">
        <f t="shared" ca="1" si="323"/>
        <v>59.203882117418289</v>
      </c>
      <c r="Y709" s="314" t="str">
        <f t="shared" ref="Y709:Y772" ca="1" si="341">IF(AND(pos_z&lt;=0,K708&gt;0),"Impact balistique","") &amp; IF(AND(H710&lt;0,vit_z&gt;=0),"Apogée","") &amp; IF(AND(Poussee=0,Q708&gt;0),"Fin de propulsion","") &amp; IF(AND(L710&gt;L_rampe,pos_xz&lt;=L_rampe),"Sortie de rampe","")</f>
        <v/>
      </c>
      <c r="Z709" s="315" t="str">
        <f t="shared" ref="Z709:Z772" ca="1" si="342">IF(ABS(t-T_para)&lt;pas/2,"Para","")</f>
        <v/>
      </c>
      <c r="AA709" s="316" t="str">
        <f t="shared" ref="AA709:AA772" ca="1" si="343">IF(ABS(t-T_satellite)&lt;pas/2,"Satellite","")</f>
        <v/>
      </c>
      <c r="AC709" s="310" t="e">
        <f t="shared" ref="AC709:AC772" ca="1" si="344">IF(ABS(t-ROUND(t,0))&lt;0.001,t,NA())</f>
        <v>#N/A</v>
      </c>
      <c r="AD709" s="323" t="e">
        <f t="shared" ref="AD709:AD772" ca="1" si="345">IF(ABS(t-ROUND(t,0))&lt;0.001,pos_x,NA())</f>
        <v>#N/A</v>
      </c>
      <c r="AE709" s="324" t="e">
        <f t="shared" ca="1" si="324"/>
        <v>#N/A</v>
      </c>
      <c r="AG709" s="306">
        <f t="shared" ref="AG709:AG772" ca="1" si="346">IF(AND(L708&lt;L_rampe,Poussee&lt;Poids*SIN(M708)),0,(-W708+Poussee)/m-Poids*SIN(M708)/m)</f>
        <v>2.3407539498455376</v>
      </c>
      <c r="AH709" s="304">
        <f t="shared" ref="AH709:AH772" ca="1" si="347">IF(AND(L708&lt;L_rampe,Poussee&lt;Poids*SIN(M708)), g*SIN(M708), (-W708+Poussee)/m)</f>
        <v>-7.4217853425695255</v>
      </c>
    </row>
    <row r="710" spans="1:34" x14ac:dyDescent="0.2">
      <c r="A710" s="347">
        <f t="shared" ca="1" si="325"/>
        <v>1E-4</v>
      </c>
      <c r="B710" s="304">
        <f t="shared" ca="1" si="326"/>
        <v>33.619000000000838</v>
      </c>
      <c r="D710" s="306">
        <f t="shared" ca="1" si="327"/>
        <v>-0.7291699641840893</v>
      </c>
      <c r="E710" s="307">
        <f t="shared" ca="1" si="328"/>
        <v>-2.4240831379553001</v>
      </c>
      <c r="F710" s="304">
        <f t="shared" ca="1" si="329"/>
        <v>2.5313766800670816</v>
      </c>
      <c r="G710" s="306">
        <f t="shared" ca="1" si="330"/>
        <v>11.88104590163184</v>
      </c>
      <c r="H710" s="307">
        <f t="shared" ca="1" si="331"/>
        <v>-120.34660900701876</v>
      </c>
      <c r="I710" s="304">
        <f t="shared" ca="1" si="332"/>
        <v>120.93165653047564</v>
      </c>
      <c r="J710" s="306">
        <f t="shared" ca="1" si="333"/>
        <v>755.70453742140728</v>
      </c>
      <c r="K710" s="307">
        <f t="shared" ca="1" si="334"/>
        <v>-4.6665093374229984</v>
      </c>
      <c r="L710" s="304">
        <f t="shared" ca="1" si="319"/>
        <v>755.71894523605761</v>
      </c>
      <c r="M710" s="306">
        <f t="shared" ca="1" si="335"/>
        <v>-1.4723916334864124</v>
      </c>
      <c r="N710" s="304">
        <f t="shared" ca="1" si="336"/>
        <v>-84.361826389144611</v>
      </c>
      <c r="P710" s="310">
        <f t="shared" ca="1" si="337"/>
        <v>23</v>
      </c>
      <c r="Q710" s="304">
        <f t="shared" ca="1" si="338"/>
        <v>0</v>
      </c>
      <c r="R710" s="306">
        <f t="shared" ca="1" si="339"/>
        <v>0</v>
      </c>
      <c r="S710" s="307">
        <f t="shared" ca="1" si="340"/>
        <v>7.9769999999999968</v>
      </c>
      <c r="T710" s="304">
        <f t="shared" ca="1" si="320"/>
        <v>78.254369999999966</v>
      </c>
      <c r="U710" s="311">
        <f t="shared" ca="1" si="321"/>
        <v>0</v>
      </c>
      <c r="V710" s="306">
        <f t="shared" ca="1" si="322"/>
        <v>1.2255717808048574</v>
      </c>
      <c r="W710" s="304">
        <f t="shared" ca="1" si="323"/>
        <v>59.204182554771478</v>
      </c>
      <c r="Y710" s="314" t="str">
        <f t="shared" ca="1" si="341"/>
        <v/>
      </c>
      <c r="Z710" s="315" t="str">
        <f t="shared" ca="1" si="342"/>
        <v/>
      </c>
      <c r="AA710" s="316" t="str">
        <f t="shared" ca="1" si="343"/>
        <v/>
      </c>
      <c r="AC710" s="310" t="e">
        <f t="shared" ca="1" si="344"/>
        <v>#N/A</v>
      </c>
      <c r="AD710" s="323" t="e">
        <f t="shared" ca="1" si="345"/>
        <v>#N/A</v>
      </c>
      <c r="AE710" s="324" t="e">
        <f t="shared" ca="1" si="324"/>
        <v>#N/A</v>
      </c>
      <c r="AG710" s="306">
        <f t="shared" ca="1" si="346"/>
        <v>2.3407170547361984</v>
      </c>
      <c r="AH710" s="304">
        <f t="shared" ca="1" si="347"/>
        <v>-7.4218230058190189</v>
      </c>
    </row>
    <row r="711" spans="1:34" x14ac:dyDescent="0.2">
      <c r="A711" s="347">
        <f t="shared" ca="1" si="325"/>
        <v>1E-4</v>
      </c>
      <c r="B711" s="304">
        <f t="shared" ca="1" si="326"/>
        <v>33.619100000000842</v>
      </c>
      <c r="D711" s="306">
        <f t="shared" ca="1" si="327"/>
        <v>-0.72916777799153398</v>
      </c>
      <c r="E711" s="307">
        <f t="shared" ca="1" si="328"/>
        <v>-2.4240450760811356</v>
      </c>
      <c r="F711" s="304">
        <f t="shared" ca="1" si="329"/>
        <v>2.5313396017394245</v>
      </c>
      <c r="G711" s="306">
        <f t="shared" ca="1" si="330"/>
        <v>11.88097298485404</v>
      </c>
      <c r="H711" s="307">
        <f t="shared" ca="1" si="331"/>
        <v>-120.34685141152636</v>
      </c>
      <c r="I711" s="304">
        <f t="shared" ca="1" si="332"/>
        <v>120.93189059853003</v>
      </c>
      <c r="J711" s="306">
        <f t="shared" ca="1" si="333"/>
        <v>755.70453742140728</v>
      </c>
      <c r="K711" s="307">
        <f t="shared" ca="1" si="334"/>
        <v>-4.6785440104439253</v>
      </c>
      <c r="L711" s="304">
        <f t="shared" ca="1" si="319"/>
        <v>755.71901964510641</v>
      </c>
      <c r="M711" s="306">
        <f t="shared" ca="1" si="335"/>
        <v>-1.4723924304579961</v>
      </c>
      <c r="N711" s="304">
        <f t="shared" ca="1" si="336"/>
        <v>-84.361872052252735</v>
      </c>
      <c r="P711" s="310">
        <f t="shared" ca="1" si="337"/>
        <v>23</v>
      </c>
      <c r="Q711" s="304">
        <f t="shared" ca="1" si="338"/>
        <v>0</v>
      </c>
      <c r="R711" s="306">
        <f t="shared" ca="1" si="339"/>
        <v>0</v>
      </c>
      <c r="S711" s="307">
        <f t="shared" ca="1" si="340"/>
        <v>7.9769999999999968</v>
      </c>
      <c r="T711" s="304">
        <f t="shared" ca="1" si="320"/>
        <v>78.254369999999966</v>
      </c>
      <c r="U711" s="311">
        <f t="shared" ca="1" si="321"/>
        <v>0</v>
      </c>
      <c r="V711" s="306">
        <f t="shared" ca="1" si="322"/>
        <v>1.2255732557413901</v>
      </c>
      <c r="W711" s="304">
        <f t="shared" ca="1" si="323"/>
        <v>59.204482989736718</v>
      </c>
      <c r="Y711" s="314" t="str">
        <f t="shared" ca="1" si="341"/>
        <v/>
      </c>
      <c r="Z711" s="315" t="str">
        <f t="shared" ca="1" si="342"/>
        <v/>
      </c>
      <c r="AA711" s="316" t="str">
        <f t="shared" ca="1" si="343"/>
        <v/>
      </c>
      <c r="AC711" s="310" t="e">
        <f t="shared" ca="1" si="344"/>
        <v>#N/A</v>
      </c>
      <c r="AD711" s="323" t="e">
        <f t="shared" ca="1" si="345"/>
        <v>#N/A</v>
      </c>
      <c r="AE711" s="324" t="e">
        <f t="shared" ca="1" si="324"/>
        <v>#N/A</v>
      </c>
      <c r="AG711" s="306">
        <f t="shared" ca="1" si="346"/>
        <v>2.3406801599123312</v>
      </c>
      <c r="AH711" s="304">
        <f t="shared" ca="1" si="347"/>
        <v>-7.4218606687691491</v>
      </c>
    </row>
    <row r="712" spans="1:34" x14ac:dyDescent="0.2">
      <c r="A712" s="347">
        <f t="shared" ca="1" si="325"/>
        <v>1E-4</v>
      </c>
      <c r="B712" s="304">
        <f t="shared" ca="1" si="326"/>
        <v>33.619200000000845</v>
      </c>
      <c r="D712" s="306">
        <f t="shared" ca="1" si="327"/>
        <v>-0.72916559176827533</v>
      </c>
      <c r="E712" s="307">
        <f t="shared" ca="1" si="328"/>
        <v>-2.4240070145094856</v>
      </c>
      <c r="F712" s="304">
        <f t="shared" ca="1" si="329"/>
        <v>2.5313025237236992</v>
      </c>
      <c r="G712" s="306">
        <f t="shared" ca="1" si="330"/>
        <v>11.880900068294864</v>
      </c>
      <c r="H712" s="307">
        <f t="shared" ca="1" si="331"/>
        <v>-120.34709381222781</v>
      </c>
      <c r="I712" s="304">
        <f t="shared" ca="1" si="332"/>
        <v>120.93212466289498</v>
      </c>
      <c r="J712" s="306">
        <f t="shared" ca="1" si="333"/>
        <v>755.70453742140728</v>
      </c>
      <c r="K712" s="307">
        <f t="shared" ca="1" si="334"/>
        <v>-4.6905787077051126</v>
      </c>
      <c r="L712" s="304">
        <f t="shared" ca="1" si="319"/>
        <v>755.71909424594821</v>
      </c>
      <c r="M712" s="306">
        <f t="shared" ca="1" si="335"/>
        <v>-1.4723932274216034</v>
      </c>
      <c r="N712" s="304">
        <f t="shared" ca="1" si="336"/>
        <v>-84.361917714903868</v>
      </c>
      <c r="P712" s="310">
        <f t="shared" ca="1" si="337"/>
        <v>23</v>
      </c>
      <c r="Q712" s="304">
        <f t="shared" ca="1" si="338"/>
        <v>0</v>
      </c>
      <c r="R712" s="306">
        <f t="shared" ca="1" si="339"/>
        <v>0</v>
      </c>
      <c r="S712" s="307">
        <f t="shared" ca="1" si="340"/>
        <v>7.9769999999999968</v>
      </c>
      <c r="T712" s="304">
        <f t="shared" ca="1" si="320"/>
        <v>78.254369999999966</v>
      </c>
      <c r="U712" s="311">
        <f t="shared" ca="1" si="321"/>
        <v>0</v>
      </c>
      <c r="V712" s="306">
        <f t="shared" ca="1" si="322"/>
        <v>1.2255747306826692</v>
      </c>
      <c r="W712" s="304">
        <f t="shared" ca="1" si="323"/>
        <v>59.204783422313973</v>
      </c>
      <c r="Y712" s="314" t="str">
        <f t="shared" ca="1" si="341"/>
        <v/>
      </c>
      <c r="Z712" s="315" t="str">
        <f t="shared" ca="1" si="342"/>
        <v/>
      </c>
      <c r="AA712" s="316" t="str">
        <f t="shared" ca="1" si="343"/>
        <v/>
      </c>
      <c r="AC712" s="310" t="e">
        <f t="shared" ca="1" si="344"/>
        <v>#N/A</v>
      </c>
      <c r="AD712" s="323" t="e">
        <f t="shared" ca="1" si="345"/>
        <v>#N/A</v>
      </c>
      <c r="AE712" s="324" t="e">
        <f t="shared" ca="1" si="324"/>
        <v>#N/A</v>
      </c>
      <c r="AG712" s="306">
        <f t="shared" ca="1" si="346"/>
        <v>2.3406432653739344</v>
      </c>
      <c r="AH712" s="304">
        <f t="shared" ca="1" si="347"/>
        <v>-7.4218983314199249</v>
      </c>
    </row>
    <row r="713" spans="1:34" x14ac:dyDescent="0.2">
      <c r="A713" s="347">
        <f t="shared" ca="1" si="325"/>
        <v>1E-4</v>
      </c>
      <c r="B713" s="304">
        <f t="shared" ca="1" si="326"/>
        <v>33.619300000000848</v>
      </c>
      <c r="D713" s="306">
        <f t="shared" ca="1" si="327"/>
        <v>-0.72916340551431458</v>
      </c>
      <c r="E713" s="307">
        <f t="shared" ca="1" si="328"/>
        <v>-2.4239689532403563</v>
      </c>
      <c r="F713" s="304">
        <f t="shared" ca="1" si="329"/>
        <v>2.5312654460199115</v>
      </c>
      <c r="G713" s="306">
        <f t="shared" ca="1" si="330"/>
        <v>11.880827151954312</v>
      </c>
      <c r="H713" s="307">
        <f t="shared" ca="1" si="331"/>
        <v>-120.34733620912314</v>
      </c>
      <c r="I713" s="304">
        <f t="shared" ca="1" si="332"/>
        <v>120.93235872357049</v>
      </c>
      <c r="J713" s="306">
        <f t="shared" ca="1" si="333"/>
        <v>755.70453742140728</v>
      </c>
      <c r="K713" s="307">
        <f t="shared" ca="1" si="334"/>
        <v>-4.7026134292061803</v>
      </c>
      <c r="L713" s="304">
        <f t="shared" ca="1" si="319"/>
        <v>755.7191690385838</v>
      </c>
      <c r="M713" s="306">
        <f t="shared" ca="1" si="335"/>
        <v>-1.4723940243772347</v>
      </c>
      <c r="N713" s="304">
        <f t="shared" ca="1" si="336"/>
        <v>-84.361963377097993</v>
      </c>
      <c r="P713" s="310">
        <f t="shared" ca="1" si="337"/>
        <v>23</v>
      </c>
      <c r="Q713" s="304">
        <f t="shared" ca="1" si="338"/>
        <v>0</v>
      </c>
      <c r="R713" s="306">
        <f t="shared" ca="1" si="339"/>
        <v>0</v>
      </c>
      <c r="S713" s="307">
        <f t="shared" ca="1" si="340"/>
        <v>7.9769999999999968</v>
      </c>
      <c r="T713" s="304">
        <f t="shared" ca="1" si="320"/>
        <v>78.254369999999966</v>
      </c>
      <c r="U713" s="311">
        <f t="shared" ca="1" si="321"/>
        <v>0</v>
      </c>
      <c r="V713" s="306">
        <f t="shared" ca="1" si="322"/>
        <v>1.2255762056286943</v>
      </c>
      <c r="W713" s="304">
        <f t="shared" ca="1" si="323"/>
        <v>59.205083852503222</v>
      </c>
      <c r="Y713" s="314" t="str">
        <f t="shared" ca="1" si="341"/>
        <v/>
      </c>
      <c r="Z713" s="315" t="str">
        <f t="shared" ca="1" si="342"/>
        <v/>
      </c>
      <c r="AA713" s="316" t="str">
        <f t="shared" ca="1" si="343"/>
        <v/>
      </c>
      <c r="AC713" s="310" t="e">
        <f t="shared" ca="1" si="344"/>
        <v>#N/A</v>
      </c>
      <c r="AD713" s="323" t="e">
        <f t="shared" ca="1" si="345"/>
        <v>#N/A</v>
      </c>
      <c r="AE713" s="324" t="e">
        <f t="shared" ca="1" si="324"/>
        <v>#N/A</v>
      </c>
      <c r="AG713" s="306">
        <f t="shared" ca="1" si="346"/>
        <v>2.3406063711210052</v>
      </c>
      <c r="AH713" s="304">
        <f t="shared" ca="1" si="347"/>
        <v>-7.4219359937713421</v>
      </c>
    </row>
    <row r="714" spans="1:34" x14ac:dyDescent="0.2">
      <c r="A714" s="347">
        <f t="shared" ca="1" si="325"/>
        <v>1E-4</v>
      </c>
      <c r="B714" s="304">
        <f t="shared" ca="1" si="326"/>
        <v>33.619400000000851</v>
      </c>
      <c r="D714" s="306">
        <f t="shared" ca="1" si="327"/>
        <v>-0.72916121922965149</v>
      </c>
      <c r="E714" s="307">
        <f t="shared" ca="1" si="328"/>
        <v>-2.4239308922737486</v>
      </c>
      <c r="F714" s="304">
        <f t="shared" ca="1" si="329"/>
        <v>2.5312283686280628</v>
      </c>
      <c r="G714" s="306">
        <f t="shared" ca="1" si="330"/>
        <v>11.88075423583239</v>
      </c>
      <c r="H714" s="307">
        <f t="shared" ca="1" si="331"/>
        <v>-120.34757860221237</v>
      </c>
      <c r="I714" s="304">
        <f t="shared" ca="1" si="332"/>
        <v>120.93259278055662</v>
      </c>
      <c r="J714" s="306">
        <f t="shared" ca="1" si="333"/>
        <v>755.70453742140728</v>
      </c>
      <c r="K714" s="307">
        <f t="shared" ca="1" si="334"/>
        <v>-4.7146481749467473</v>
      </c>
      <c r="L714" s="304">
        <f t="shared" ca="1" si="319"/>
        <v>755.71924402301454</v>
      </c>
      <c r="M714" s="306">
        <f t="shared" ca="1" si="335"/>
        <v>-1.4723948213248899</v>
      </c>
      <c r="N714" s="304">
        <f t="shared" ca="1" si="336"/>
        <v>-84.362009038835126</v>
      </c>
      <c r="P714" s="310">
        <f t="shared" ca="1" si="337"/>
        <v>23</v>
      </c>
      <c r="Q714" s="304">
        <f t="shared" ca="1" si="338"/>
        <v>0</v>
      </c>
      <c r="R714" s="306">
        <f t="shared" ca="1" si="339"/>
        <v>0</v>
      </c>
      <c r="S714" s="307">
        <f t="shared" ca="1" si="340"/>
        <v>7.9769999999999968</v>
      </c>
      <c r="T714" s="304">
        <f t="shared" ca="1" si="320"/>
        <v>78.254369999999966</v>
      </c>
      <c r="U714" s="311">
        <f t="shared" ca="1" si="321"/>
        <v>0</v>
      </c>
      <c r="V714" s="306">
        <f t="shared" ca="1" si="322"/>
        <v>1.2255776805794658</v>
      </c>
      <c r="W714" s="304">
        <f t="shared" ca="1" si="323"/>
        <v>59.205384280304514</v>
      </c>
      <c r="Y714" s="314" t="str">
        <f t="shared" ca="1" si="341"/>
        <v/>
      </c>
      <c r="Z714" s="315" t="str">
        <f t="shared" ca="1" si="342"/>
        <v/>
      </c>
      <c r="AA714" s="316" t="str">
        <f t="shared" ca="1" si="343"/>
        <v/>
      </c>
      <c r="AC714" s="310" t="e">
        <f t="shared" ca="1" si="344"/>
        <v>#N/A</v>
      </c>
      <c r="AD714" s="323" t="e">
        <f t="shared" ca="1" si="345"/>
        <v>#N/A</v>
      </c>
      <c r="AE714" s="324" t="e">
        <f t="shared" ca="1" si="324"/>
        <v>#N/A</v>
      </c>
      <c r="AG714" s="306">
        <f t="shared" ca="1" si="346"/>
        <v>2.3405694771535499</v>
      </c>
      <c r="AH714" s="304">
        <f t="shared" ca="1" si="347"/>
        <v>-7.4219736558233977</v>
      </c>
    </row>
    <row r="715" spans="1:34" x14ac:dyDescent="0.2">
      <c r="A715" s="347">
        <f t="shared" ca="1" si="325"/>
        <v>1E-4</v>
      </c>
      <c r="B715" s="304">
        <f t="shared" ca="1" si="326"/>
        <v>33.619500000000855</v>
      </c>
      <c r="D715" s="306">
        <f t="shared" ca="1" si="327"/>
        <v>-0.72915903291428841</v>
      </c>
      <c r="E715" s="307">
        <f t="shared" ca="1" si="328"/>
        <v>-2.4238928316096588</v>
      </c>
      <c r="F715" s="304">
        <f t="shared" ca="1" si="329"/>
        <v>2.5311912915481498</v>
      </c>
      <c r="G715" s="306">
        <f t="shared" ca="1" si="330"/>
        <v>11.880681319929097</v>
      </c>
      <c r="H715" s="307">
        <f t="shared" ca="1" si="331"/>
        <v>-120.34782099149552</v>
      </c>
      <c r="I715" s="304">
        <f t="shared" ca="1" si="332"/>
        <v>120.93282683385337</v>
      </c>
      <c r="J715" s="306">
        <f t="shared" ca="1" si="333"/>
        <v>755.70453742140728</v>
      </c>
      <c r="K715" s="307">
        <f t="shared" ca="1" si="334"/>
        <v>-4.7266829449264325</v>
      </c>
      <c r="L715" s="304">
        <f t="shared" ca="1" si="319"/>
        <v>755.71931919924145</v>
      </c>
      <c r="M715" s="306">
        <f t="shared" ca="1" si="335"/>
        <v>-1.472395618264569</v>
      </c>
      <c r="N715" s="304">
        <f t="shared" ca="1" si="336"/>
        <v>-84.362054700115266</v>
      </c>
      <c r="P715" s="310">
        <f t="shared" ca="1" si="337"/>
        <v>23</v>
      </c>
      <c r="Q715" s="304">
        <f t="shared" ca="1" si="338"/>
        <v>0</v>
      </c>
      <c r="R715" s="306">
        <f t="shared" ca="1" si="339"/>
        <v>0</v>
      </c>
      <c r="S715" s="307">
        <f t="shared" ca="1" si="340"/>
        <v>7.9769999999999968</v>
      </c>
      <c r="T715" s="304">
        <f t="shared" ca="1" si="320"/>
        <v>78.254369999999966</v>
      </c>
      <c r="U715" s="311">
        <f t="shared" ca="1" si="321"/>
        <v>0</v>
      </c>
      <c r="V715" s="306">
        <f t="shared" ca="1" si="322"/>
        <v>1.2255791555349831</v>
      </c>
      <c r="W715" s="304">
        <f t="shared" ca="1" si="323"/>
        <v>59.205684705717779</v>
      </c>
      <c r="Y715" s="314" t="str">
        <f t="shared" ca="1" si="341"/>
        <v/>
      </c>
      <c r="Z715" s="315" t="str">
        <f t="shared" ca="1" si="342"/>
        <v/>
      </c>
      <c r="AA715" s="316" t="str">
        <f t="shared" ca="1" si="343"/>
        <v/>
      </c>
      <c r="AC715" s="310" t="e">
        <f t="shared" ca="1" si="344"/>
        <v>#N/A</v>
      </c>
      <c r="AD715" s="323" t="e">
        <f t="shared" ca="1" si="345"/>
        <v>#N/A</v>
      </c>
      <c r="AE715" s="324" t="e">
        <f t="shared" ca="1" si="324"/>
        <v>#N/A</v>
      </c>
      <c r="AG715" s="306">
        <f t="shared" ca="1" si="346"/>
        <v>2.3405325834715622</v>
      </c>
      <c r="AH715" s="304">
        <f t="shared" ca="1" si="347"/>
        <v>-7.4220113175760982</v>
      </c>
    </row>
    <row r="716" spans="1:34" x14ac:dyDescent="0.2">
      <c r="A716" s="347">
        <f t="shared" ca="1" si="325"/>
        <v>1E-4</v>
      </c>
      <c r="B716" s="304">
        <f t="shared" ca="1" si="326"/>
        <v>33.619600000000858</v>
      </c>
      <c r="D716" s="306">
        <f t="shared" ca="1" si="327"/>
        <v>-0.72915684656822599</v>
      </c>
      <c r="E716" s="307">
        <f t="shared" ca="1" si="328"/>
        <v>-2.4238547712480933</v>
      </c>
      <c r="F716" s="304">
        <f t="shared" ca="1" si="329"/>
        <v>2.5311542147801793</v>
      </c>
      <c r="G716" s="306">
        <f t="shared" ca="1" si="330"/>
        <v>11.880608404244441</v>
      </c>
      <c r="H716" s="307">
        <f t="shared" ca="1" si="331"/>
        <v>-120.34806337697265</v>
      </c>
      <c r="I716" s="304">
        <f t="shared" ca="1" si="332"/>
        <v>120.93306088346077</v>
      </c>
      <c r="J716" s="306">
        <f t="shared" ca="1" si="333"/>
        <v>755.70453742140728</v>
      </c>
      <c r="K716" s="307">
        <f t="shared" ca="1" si="334"/>
        <v>-4.7387177391448558</v>
      </c>
      <c r="L716" s="304">
        <f t="shared" ca="1" si="319"/>
        <v>755.71939456726557</v>
      </c>
      <c r="M716" s="306">
        <f t="shared" ca="1" si="335"/>
        <v>-1.4723964151962725</v>
      </c>
      <c r="N716" s="304">
        <f t="shared" ca="1" si="336"/>
        <v>-84.362100360938442</v>
      </c>
      <c r="P716" s="310">
        <f t="shared" ca="1" si="337"/>
        <v>23</v>
      </c>
      <c r="Q716" s="304">
        <f t="shared" ca="1" si="338"/>
        <v>0</v>
      </c>
      <c r="R716" s="306">
        <f t="shared" ca="1" si="339"/>
        <v>0</v>
      </c>
      <c r="S716" s="307">
        <f t="shared" ca="1" si="340"/>
        <v>7.9769999999999968</v>
      </c>
      <c r="T716" s="304">
        <f t="shared" ca="1" si="320"/>
        <v>78.254369999999966</v>
      </c>
      <c r="U716" s="311">
        <f t="shared" ca="1" si="321"/>
        <v>0</v>
      </c>
      <c r="V716" s="306">
        <f t="shared" ca="1" si="322"/>
        <v>1.225580630495247</v>
      </c>
      <c r="W716" s="304">
        <f t="shared" ca="1" si="323"/>
        <v>59.205985128743059</v>
      </c>
      <c r="Y716" s="314" t="str">
        <f t="shared" ca="1" si="341"/>
        <v/>
      </c>
      <c r="Z716" s="315" t="str">
        <f t="shared" ca="1" si="342"/>
        <v/>
      </c>
      <c r="AA716" s="316" t="str">
        <f t="shared" ca="1" si="343"/>
        <v/>
      </c>
      <c r="AC716" s="310" t="e">
        <f t="shared" ca="1" si="344"/>
        <v>#N/A</v>
      </c>
      <c r="AD716" s="323" t="e">
        <f t="shared" ca="1" si="345"/>
        <v>#N/A</v>
      </c>
      <c r="AE716" s="324" t="e">
        <f t="shared" ca="1" si="324"/>
        <v>#N/A</v>
      </c>
      <c r="AG716" s="306">
        <f t="shared" ca="1" si="346"/>
        <v>2.3404956900750529</v>
      </c>
      <c r="AH716" s="304">
        <f t="shared" ca="1" si="347"/>
        <v>-7.4220489790294346</v>
      </c>
    </row>
    <row r="717" spans="1:34" x14ac:dyDescent="0.2">
      <c r="A717" s="347">
        <f t="shared" ca="1" si="325"/>
        <v>1E-4</v>
      </c>
      <c r="B717" s="304">
        <f t="shared" ca="1" si="326"/>
        <v>33.619700000000861</v>
      </c>
      <c r="D717" s="306">
        <f t="shared" ca="1" si="327"/>
        <v>-0.72915466019146302</v>
      </c>
      <c r="E717" s="307">
        <f t="shared" ca="1" si="328"/>
        <v>-2.4238167111890485</v>
      </c>
      <c r="F717" s="304">
        <f t="shared" ca="1" si="329"/>
        <v>2.5311171383241478</v>
      </c>
      <c r="G717" s="306">
        <f t="shared" ca="1" si="330"/>
        <v>11.880535488778422</v>
      </c>
      <c r="H717" s="307">
        <f t="shared" ca="1" si="331"/>
        <v>-120.34830575864376</v>
      </c>
      <c r="I717" s="304">
        <f t="shared" ca="1" si="332"/>
        <v>120.93329492937886</v>
      </c>
      <c r="J717" s="306">
        <f t="shared" ca="1" si="333"/>
        <v>755.70453742140728</v>
      </c>
      <c r="K717" s="307">
        <f t="shared" ca="1" si="334"/>
        <v>-4.7507525576016363</v>
      </c>
      <c r="L717" s="304">
        <f t="shared" ca="1" si="319"/>
        <v>755.71947012708802</v>
      </c>
      <c r="M717" s="306">
        <f t="shared" ca="1" si="335"/>
        <v>-1.4723972121200002</v>
      </c>
      <c r="N717" s="304">
        <f t="shared" ca="1" si="336"/>
        <v>-84.362146021304639</v>
      </c>
      <c r="P717" s="310">
        <f t="shared" ca="1" si="337"/>
        <v>23</v>
      </c>
      <c r="Q717" s="304">
        <f t="shared" ca="1" si="338"/>
        <v>0</v>
      </c>
      <c r="R717" s="306">
        <f t="shared" ca="1" si="339"/>
        <v>0</v>
      </c>
      <c r="S717" s="307">
        <f t="shared" ca="1" si="340"/>
        <v>7.9769999999999968</v>
      </c>
      <c r="T717" s="304">
        <f t="shared" ca="1" si="320"/>
        <v>78.254369999999966</v>
      </c>
      <c r="U717" s="311">
        <f t="shared" ca="1" si="321"/>
        <v>0</v>
      </c>
      <c r="V717" s="306">
        <f t="shared" ca="1" si="322"/>
        <v>1.2255821054602563</v>
      </c>
      <c r="W717" s="304">
        <f t="shared" ca="1" si="323"/>
        <v>59.206285549380304</v>
      </c>
      <c r="Y717" s="314" t="str">
        <f t="shared" ca="1" si="341"/>
        <v/>
      </c>
      <c r="Z717" s="315" t="str">
        <f t="shared" ca="1" si="342"/>
        <v/>
      </c>
      <c r="AA717" s="316" t="str">
        <f t="shared" ca="1" si="343"/>
        <v/>
      </c>
      <c r="AC717" s="310" t="e">
        <f t="shared" ca="1" si="344"/>
        <v>#N/A</v>
      </c>
      <c r="AD717" s="323" t="e">
        <f t="shared" ca="1" si="345"/>
        <v>#N/A</v>
      </c>
      <c r="AE717" s="324" t="e">
        <f t="shared" ca="1" si="324"/>
        <v>#N/A</v>
      </c>
      <c r="AG717" s="306">
        <f t="shared" ca="1" si="346"/>
        <v>2.340458796964012</v>
      </c>
      <c r="AH717" s="304">
        <f t="shared" ca="1" si="347"/>
        <v>-7.4220866401834131</v>
      </c>
    </row>
    <row r="718" spans="1:34" x14ac:dyDescent="0.2">
      <c r="A718" s="347">
        <f t="shared" ca="1" si="325"/>
        <v>1E-4</v>
      </c>
      <c r="B718" s="304">
        <f t="shared" ca="1" si="326"/>
        <v>33.619800000000865</v>
      </c>
      <c r="D718" s="306">
        <f t="shared" ca="1" si="327"/>
        <v>-0.72915247378400216</v>
      </c>
      <c r="E718" s="307">
        <f t="shared" ca="1" si="328"/>
        <v>-2.4237786514325297</v>
      </c>
      <c r="F718" s="304">
        <f t="shared" ca="1" si="329"/>
        <v>2.5310800621800609</v>
      </c>
      <c r="G718" s="306">
        <f t="shared" ca="1" si="330"/>
        <v>11.880462573531045</v>
      </c>
      <c r="H718" s="307">
        <f t="shared" ca="1" si="331"/>
        <v>-120.34854813650891</v>
      </c>
      <c r="I718" s="304">
        <f t="shared" ca="1" si="332"/>
        <v>120.93352897160767</v>
      </c>
      <c r="J718" s="306">
        <f t="shared" ca="1" si="333"/>
        <v>755.70453742140728</v>
      </c>
      <c r="K718" s="307">
        <f t="shared" ca="1" si="334"/>
        <v>-4.7627874002963937</v>
      </c>
      <c r="L718" s="304">
        <f t="shared" ca="1" si="319"/>
        <v>755.71954587870994</v>
      </c>
      <c r="M718" s="306">
        <f t="shared" ca="1" si="335"/>
        <v>-1.4723980090357522</v>
      </c>
      <c r="N718" s="304">
        <f t="shared" ca="1" si="336"/>
        <v>-84.362191681213858</v>
      </c>
      <c r="P718" s="310">
        <f t="shared" ca="1" si="337"/>
        <v>23</v>
      </c>
      <c r="Q718" s="304">
        <f t="shared" ca="1" si="338"/>
        <v>0</v>
      </c>
      <c r="R718" s="306">
        <f t="shared" ca="1" si="339"/>
        <v>0</v>
      </c>
      <c r="S718" s="307">
        <f t="shared" ca="1" si="340"/>
        <v>7.9769999999999968</v>
      </c>
      <c r="T718" s="304">
        <f t="shared" ca="1" si="320"/>
        <v>78.254369999999966</v>
      </c>
      <c r="U718" s="311">
        <f t="shared" ca="1" si="321"/>
        <v>0</v>
      </c>
      <c r="V718" s="306">
        <f t="shared" ca="1" si="322"/>
        <v>1.2255835804300124</v>
      </c>
      <c r="W718" s="304">
        <f t="shared" ca="1" si="323"/>
        <v>59.206585967629579</v>
      </c>
      <c r="Y718" s="314" t="str">
        <f t="shared" ca="1" si="341"/>
        <v/>
      </c>
      <c r="Z718" s="315" t="str">
        <f t="shared" ca="1" si="342"/>
        <v/>
      </c>
      <c r="AA718" s="316" t="str">
        <f t="shared" ca="1" si="343"/>
        <v/>
      </c>
      <c r="AC718" s="310" t="e">
        <f t="shared" ca="1" si="344"/>
        <v>#N/A</v>
      </c>
      <c r="AD718" s="323" t="e">
        <f t="shared" ca="1" si="345"/>
        <v>#N/A</v>
      </c>
      <c r="AE718" s="324" t="e">
        <f t="shared" ca="1" si="324"/>
        <v>#N/A</v>
      </c>
      <c r="AG718" s="306">
        <f t="shared" ca="1" si="346"/>
        <v>2.3404219041384513</v>
      </c>
      <c r="AH718" s="304">
        <f t="shared" ca="1" si="347"/>
        <v>-7.4221243010380258</v>
      </c>
    </row>
    <row r="719" spans="1:34" x14ac:dyDescent="0.2">
      <c r="A719" s="347">
        <f t="shared" ca="1" si="325"/>
        <v>1E-4</v>
      </c>
      <c r="B719" s="304">
        <f t="shared" ca="1" si="326"/>
        <v>33.619900000000868</v>
      </c>
      <c r="D719" s="306">
        <f t="shared" ca="1" si="327"/>
        <v>-0.72915028734584419</v>
      </c>
      <c r="E719" s="307">
        <f t="shared" ca="1" si="328"/>
        <v>-2.4237405919785289</v>
      </c>
      <c r="F719" s="304">
        <f t="shared" ca="1" si="329"/>
        <v>2.531042986347912</v>
      </c>
      <c r="G719" s="306">
        <f t="shared" ca="1" si="330"/>
        <v>11.88038965850231</v>
      </c>
      <c r="H719" s="307">
        <f t="shared" ca="1" si="331"/>
        <v>-120.34879051056811</v>
      </c>
      <c r="I719" s="304">
        <f t="shared" ca="1" si="332"/>
        <v>120.93376301014723</v>
      </c>
      <c r="J719" s="306">
        <f t="shared" ca="1" si="333"/>
        <v>755.70453742140728</v>
      </c>
      <c r="K719" s="307">
        <f t="shared" ca="1" si="334"/>
        <v>-4.7748222672287479</v>
      </c>
      <c r="L719" s="304">
        <f t="shared" ca="1" si="319"/>
        <v>755.71962182213235</v>
      </c>
      <c r="M719" s="306">
        <f t="shared" ca="1" si="335"/>
        <v>-1.4723988059435289</v>
      </c>
      <c r="N719" s="304">
        <f t="shared" ca="1" si="336"/>
        <v>-84.362237340666113</v>
      </c>
      <c r="P719" s="310">
        <f t="shared" ca="1" si="337"/>
        <v>23</v>
      </c>
      <c r="Q719" s="304">
        <f t="shared" ca="1" si="338"/>
        <v>0</v>
      </c>
      <c r="R719" s="306">
        <f t="shared" ca="1" si="339"/>
        <v>0</v>
      </c>
      <c r="S719" s="307">
        <f t="shared" ca="1" si="340"/>
        <v>7.9769999999999968</v>
      </c>
      <c r="T719" s="304">
        <f t="shared" ca="1" si="320"/>
        <v>78.254369999999966</v>
      </c>
      <c r="U719" s="311">
        <f t="shared" ca="1" si="321"/>
        <v>0</v>
      </c>
      <c r="V719" s="306">
        <f t="shared" ca="1" si="322"/>
        <v>1.2255850554045142</v>
      </c>
      <c r="W719" s="304">
        <f t="shared" ca="1" si="323"/>
        <v>59.20688638349084</v>
      </c>
      <c r="Y719" s="314" t="str">
        <f t="shared" ca="1" si="341"/>
        <v/>
      </c>
      <c r="Z719" s="315" t="str">
        <f t="shared" ca="1" si="342"/>
        <v/>
      </c>
      <c r="AA719" s="316" t="str">
        <f t="shared" ca="1" si="343"/>
        <v/>
      </c>
      <c r="AC719" s="310" t="e">
        <f t="shared" ca="1" si="344"/>
        <v>#N/A</v>
      </c>
      <c r="AD719" s="323" t="e">
        <f t="shared" ca="1" si="345"/>
        <v>#N/A</v>
      </c>
      <c r="AE719" s="324" t="e">
        <f t="shared" ca="1" si="324"/>
        <v>#N/A</v>
      </c>
      <c r="AG719" s="306">
        <f t="shared" ca="1" si="346"/>
        <v>2.3403850115983618</v>
      </c>
      <c r="AH719" s="304">
        <f t="shared" ca="1" si="347"/>
        <v>-7.4221619615932815</v>
      </c>
    </row>
    <row r="720" spans="1:34" x14ac:dyDescent="0.2">
      <c r="A720" s="347">
        <f t="shared" ca="1" si="325"/>
        <v>1E-4</v>
      </c>
      <c r="B720" s="304">
        <f t="shared" ca="1" si="326"/>
        <v>33.620000000000871</v>
      </c>
      <c r="D720" s="306">
        <f t="shared" ca="1" si="327"/>
        <v>-0.72914810087698867</v>
      </c>
      <c r="E720" s="307">
        <f t="shared" ca="1" si="328"/>
        <v>-2.4237025328270532</v>
      </c>
      <c r="F720" s="304">
        <f t="shared" ca="1" si="329"/>
        <v>2.5310059108277074</v>
      </c>
      <c r="G720" s="306">
        <f t="shared" ca="1" si="330"/>
        <v>11.880316743692221</v>
      </c>
      <c r="H720" s="307">
        <f t="shared" ca="1" si="331"/>
        <v>-120.3490328808214</v>
      </c>
      <c r="I720" s="304">
        <f t="shared" ca="1" si="332"/>
        <v>120.93399704499758</v>
      </c>
      <c r="J720" s="306">
        <f t="shared" ca="1" si="333"/>
        <v>755.70453742140728</v>
      </c>
      <c r="K720" s="307">
        <f t="shared" ca="1" si="334"/>
        <v>-4.786857158398317</v>
      </c>
      <c r="L720" s="304">
        <f t="shared" ca="1" si="319"/>
        <v>755.71969795735652</v>
      </c>
      <c r="M720" s="306">
        <f t="shared" ca="1" si="335"/>
        <v>-1.4723996028433302</v>
      </c>
      <c r="N720" s="304">
        <f t="shared" ca="1" si="336"/>
        <v>-84.362282999661431</v>
      </c>
      <c r="P720" s="310">
        <f t="shared" ca="1" si="337"/>
        <v>23</v>
      </c>
      <c r="Q720" s="304">
        <f t="shared" ca="1" si="338"/>
        <v>0</v>
      </c>
      <c r="R720" s="306">
        <f t="shared" ca="1" si="339"/>
        <v>0</v>
      </c>
      <c r="S720" s="307">
        <f t="shared" ca="1" si="340"/>
        <v>7.9769999999999968</v>
      </c>
      <c r="T720" s="304">
        <f t="shared" ca="1" si="320"/>
        <v>78.254369999999966</v>
      </c>
      <c r="U720" s="311">
        <f t="shared" ca="1" si="321"/>
        <v>0</v>
      </c>
      <c r="V720" s="306">
        <f t="shared" ca="1" si="322"/>
        <v>1.2255865303837621</v>
      </c>
      <c r="W720" s="304">
        <f t="shared" ca="1" si="323"/>
        <v>59.207186796964095</v>
      </c>
      <c r="Y720" s="314" t="str">
        <f t="shared" ca="1" si="341"/>
        <v/>
      </c>
      <c r="Z720" s="315" t="str">
        <f t="shared" ca="1" si="342"/>
        <v/>
      </c>
      <c r="AA720" s="316" t="str">
        <f t="shared" ca="1" si="343"/>
        <v/>
      </c>
      <c r="AC720" s="310" t="e">
        <f t="shared" ca="1" si="344"/>
        <v>#N/A</v>
      </c>
      <c r="AD720" s="323" t="e">
        <f t="shared" ca="1" si="345"/>
        <v>#N/A</v>
      </c>
      <c r="AE720" s="324" t="e">
        <f t="shared" ca="1" si="324"/>
        <v>#N/A</v>
      </c>
      <c r="AG720" s="306">
        <f t="shared" ca="1" si="346"/>
        <v>2.3403481193437496</v>
      </c>
      <c r="AH720" s="304">
        <f t="shared" ca="1" si="347"/>
        <v>-7.4221996218491739</v>
      </c>
    </row>
    <row r="721" spans="1:34" x14ac:dyDescent="0.2">
      <c r="A721" s="347">
        <f t="shared" ca="1" si="325"/>
        <v>1E-4</v>
      </c>
      <c r="B721" s="304">
        <f t="shared" ca="1" si="326"/>
        <v>33.620100000000875</v>
      </c>
      <c r="D721" s="306">
        <f t="shared" ca="1" si="327"/>
        <v>-0.72914591437743703</v>
      </c>
      <c r="E721" s="307">
        <f t="shared" ca="1" si="328"/>
        <v>-2.4236644739780981</v>
      </c>
      <c r="F721" s="304">
        <f t="shared" ca="1" si="329"/>
        <v>2.5309688356194431</v>
      </c>
      <c r="G721" s="306">
        <f t="shared" ca="1" si="330"/>
        <v>11.880243829100783</v>
      </c>
      <c r="H721" s="307">
        <f t="shared" ca="1" si="331"/>
        <v>-120.34927524726879</v>
      </c>
      <c r="I721" s="304">
        <f t="shared" ca="1" si="332"/>
        <v>120.93423107615871</v>
      </c>
      <c r="J721" s="306">
        <f t="shared" ca="1" si="333"/>
        <v>755.70453742140728</v>
      </c>
      <c r="K721" s="307">
        <f t="shared" ca="1" si="334"/>
        <v>-4.7988920738047218</v>
      </c>
      <c r="L721" s="304">
        <f t="shared" ca="1" si="319"/>
        <v>755.71977428438333</v>
      </c>
      <c r="M721" s="306">
        <f t="shared" ca="1" si="335"/>
        <v>-1.4724003997351565</v>
      </c>
      <c r="N721" s="304">
        <f t="shared" ca="1" si="336"/>
        <v>-84.3623286581998</v>
      </c>
      <c r="P721" s="310">
        <f t="shared" ca="1" si="337"/>
        <v>23</v>
      </c>
      <c r="Q721" s="304">
        <f t="shared" ca="1" si="338"/>
        <v>0</v>
      </c>
      <c r="R721" s="306">
        <f t="shared" ca="1" si="339"/>
        <v>0</v>
      </c>
      <c r="S721" s="307">
        <f t="shared" ca="1" si="340"/>
        <v>7.9769999999999968</v>
      </c>
      <c r="T721" s="304">
        <f t="shared" ca="1" si="320"/>
        <v>78.254369999999966</v>
      </c>
      <c r="U721" s="311">
        <f t="shared" ca="1" si="321"/>
        <v>0</v>
      </c>
      <c r="V721" s="306">
        <f t="shared" ca="1" si="322"/>
        <v>1.2255880053677564</v>
      </c>
      <c r="W721" s="304">
        <f t="shared" ca="1" si="323"/>
        <v>59.207487208049344</v>
      </c>
      <c r="Y721" s="314" t="str">
        <f t="shared" ca="1" si="341"/>
        <v/>
      </c>
      <c r="Z721" s="315" t="str">
        <f t="shared" ca="1" si="342"/>
        <v/>
      </c>
      <c r="AA721" s="316" t="str">
        <f t="shared" ca="1" si="343"/>
        <v/>
      </c>
      <c r="AC721" s="310" t="e">
        <f t="shared" ca="1" si="344"/>
        <v>#N/A</v>
      </c>
      <c r="AD721" s="323" t="e">
        <f t="shared" ca="1" si="345"/>
        <v>#N/A</v>
      </c>
      <c r="AE721" s="324" t="e">
        <f t="shared" ca="1" si="324"/>
        <v>#N/A</v>
      </c>
      <c r="AG721" s="306">
        <f t="shared" ca="1" si="346"/>
        <v>2.3403112273746105</v>
      </c>
      <c r="AH721" s="304">
        <f t="shared" ca="1" si="347"/>
        <v>-7.4222372818057059</v>
      </c>
    </row>
    <row r="722" spans="1:34" x14ac:dyDescent="0.2">
      <c r="A722" s="347">
        <f t="shared" ca="1" si="325"/>
        <v>1E-4</v>
      </c>
      <c r="B722" s="304">
        <f t="shared" ca="1" si="326"/>
        <v>33.620200000000878</v>
      </c>
      <c r="D722" s="306">
        <f t="shared" ca="1" si="327"/>
        <v>-0.72914372784718795</v>
      </c>
      <c r="E722" s="307">
        <f t="shared" ca="1" si="328"/>
        <v>-2.4236264154316665</v>
      </c>
      <c r="F722" s="304">
        <f t="shared" ca="1" si="329"/>
        <v>2.5309317607231221</v>
      </c>
      <c r="G722" s="306">
        <f t="shared" ca="1" si="330"/>
        <v>11.880170914727998</v>
      </c>
      <c r="H722" s="307">
        <f t="shared" ca="1" si="331"/>
        <v>-120.34951760991034</v>
      </c>
      <c r="I722" s="304">
        <f t="shared" ca="1" si="332"/>
        <v>120.93446510363069</v>
      </c>
      <c r="J722" s="306">
        <f t="shared" ca="1" si="333"/>
        <v>755.70453742140728</v>
      </c>
      <c r="K722" s="307">
        <f t="shared" ca="1" si="334"/>
        <v>-4.8109270134475812</v>
      </c>
      <c r="L722" s="304">
        <f t="shared" ca="1" si="319"/>
        <v>755.71985080321383</v>
      </c>
      <c r="M722" s="306">
        <f t="shared" ca="1" si="335"/>
        <v>-1.4724011966190074</v>
      </c>
      <c r="N722" s="304">
        <f t="shared" ca="1" si="336"/>
        <v>-84.362374316281219</v>
      </c>
      <c r="P722" s="310">
        <f t="shared" ca="1" si="337"/>
        <v>23</v>
      </c>
      <c r="Q722" s="304">
        <f t="shared" ca="1" si="338"/>
        <v>0</v>
      </c>
      <c r="R722" s="306">
        <f t="shared" ca="1" si="339"/>
        <v>0</v>
      </c>
      <c r="S722" s="307">
        <f t="shared" ca="1" si="340"/>
        <v>7.9769999999999968</v>
      </c>
      <c r="T722" s="304">
        <f t="shared" ca="1" si="320"/>
        <v>78.254369999999966</v>
      </c>
      <c r="U722" s="311">
        <f t="shared" ca="1" si="321"/>
        <v>0</v>
      </c>
      <c r="V722" s="306">
        <f t="shared" ca="1" si="322"/>
        <v>1.2255894803564962</v>
      </c>
      <c r="W722" s="304">
        <f t="shared" ca="1" si="323"/>
        <v>59.207787616746558</v>
      </c>
      <c r="Y722" s="314" t="str">
        <f t="shared" ca="1" si="341"/>
        <v/>
      </c>
      <c r="Z722" s="315" t="str">
        <f t="shared" ca="1" si="342"/>
        <v/>
      </c>
      <c r="AA722" s="316" t="str">
        <f t="shared" ca="1" si="343"/>
        <v/>
      </c>
      <c r="AC722" s="310" t="e">
        <f t="shared" ca="1" si="344"/>
        <v>#N/A</v>
      </c>
      <c r="AD722" s="323" t="e">
        <f t="shared" ca="1" si="345"/>
        <v>#N/A</v>
      </c>
      <c r="AE722" s="324" t="e">
        <f t="shared" ca="1" si="324"/>
        <v>#N/A</v>
      </c>
      <c r="AG722" s="306">
        <f t="shared" ca="1" si="346"/>
        <v>2.3402743356909488</v>
      </c>
      <c r="AH722" s="304">
        <f t="shared" ca="1" si="347"/>
        <v>-7.4222749414628764</v>
      </c>
    </row>
    <row r="723" spans="1:34" x14ac:dyDescent="0.2">
      <c r="A723" s="347">
        <f t="shared" ca="1" si="325"/>
        <v>1E-4</v>
      </c>
      <c r="B723" s="304">
        <f t="shared" ca="1" si="326"/>
        <v>33.620300000000881</v>
      </c>
      <c r="D723" s="306">
        <f t="shared" ca="1" si="327"/>
        <v>-0.72914154128624586</v>
      </c>
      <c r="E723" s="307">
        <f t="shared" ca="1" si="328"/>
        <v>-2.4235883571877626</v>
      </c>
      <c r="F723" s="304">
        <f t="shared" ca="1" si="329"/>
        <v>2.5308946861387493</v>
      </c>
      <c r="G723" s="306">
        <f t="shared" ca="1" si="330"/>
        <v>11.88009800057387</v>
      </c>
      <c r="H723" s="307">
        <f t="shared" ca="1" si="331"/>
        <v>-120.34975996874606</v>
      </c>
      <c r="I723" s="304">
        <f t="shared" ca="1" si="332"/>
        <v>120.93469912741351</v>
      </c>
      <c r="J723" s="306">
        <f t="shared" ca="1" si="333"/>
        <v>755.70453742140728</v>
      </c>
      <c r="K723" s="307">
        <f t="shared" ca="1" si="334"/>
        <v>-4.8229619773265142</v>
      </c>
      <c r="L723" s="304">
        <f t="shared" ca="1" si="319"/>
        <v>755.71992751384948</v>
      </c>
      <c r="M723" s="306">
        <f t="shared" ca="1" si="335"/>
        <v>-1.4724019934948833</v>
      </c>
      <c r="N723" s="304">
        <f t="shared" ca="1" si="336"/>
        <v>-84.362419973905702</v>
      </c>
      <c r="P723" s="310">
        <f t="shared" ca="1" si="337"/>
        <v>23</v>
      </c>
      <c r="Q723" s="304">
        <f t="shared" ca="1" si="338"/>
        <v>0</v>
      </c>
      <c r="R723" s="306">
        <f t="shared" ca="1" si="339"/>
        <v>0</v>
      </c>
      <c r="S723" s="307">
        <f t="shared" ca="1" si="340"/>
        <v>7.9769999999999968</v>
      </c>
      <c r="T723" s="304">
        <f t="shared" ca="1" si="320"/>
        <v>78.254369999999966</v>
      </c>
      <c r="U723" s="311">
        <f t="shared" ca="1" si="321"/>
        <v>0</v>
      </c>
      <c r="V723" s="306">
        <f t="shared" ca="1" si="322"/>
        <v>1.2255909553499817</v>
      </c>
      <c r="W723" s="304">
        <f t="shared" ca="1" si="323"/>
        <v>59.208088023055744</v>
      </c>
      <c r="Y723" s="314" t="str">
        <f t="shared" ca="1" si="341"/>
        <v/>
      </c>
      <c r="Z723" s="315" t="str">
        <f t="shared" ca="1" si="342"/>
        <v/>
      </c>
      <c r="AA723" s="316" t="str">
        <f t="shared" ca="1" si="343"/>
        <v/>
      </c>
      <c r="AC723" s="310" t="e">
        <f t="shared" ca="1" si="344"/>
        <v>#N/A</v>
      </c>
      <c r="AD723" s="323" t="e">
        <f t="shared" ca="1" si="345"/>
        <v>#N/A</v>
      </c>
      <c r="AE723" s="324" t="e">
        <f t="shared" ca="1" si="324"/>
        <v>#N/A</v>
      </c>
      <c r="AG723" s="306">
        <f t="shared" ca="1" si="346"/>
        <v>2.3402374442927663</v>
      </c>
      <c r="AH723" s="304">
        <f t="shared" ca="1" si="347"/>
        <v>-7.4223126008206819</v>
      </c>
    </row>
    <row r="724" spans="1:34" x14ac:dyDescent="0.2">
      <c r="A724" s="347">
        <f t="shared" ca="1" si="325"/>
        <v>1E-4</v>
      </c>
      <c r="B724" s="304">
        <f t="shared" ca="1" si="326"/>
        <v>33.620400000000885</v>
      </c>
      <c r="D724" s="306">
        <f t="shared" ca="1" si="327"/>
        <v>-0.72913935469460922</v>
      </c>
      <c r="E724" s="307">
        <f t="shared" ca="1" si="328"/>
        <v>-2.423550299246382</v>
      </c>
      <c r="F724" s="304">
        <f t="shared" ca="1" si="329"/>
        <v>2.5308576118663213</v>
      </c>
      <c r="G724" s="306">
        <f t="shared" ca="1" si="330"/>
        <v>11.880025086638401</v>
      </c>
      <c r="H724" s="307">
        <f t="shared" ca="1" si="331"/>
        <v>-120.35000232377598</v>
      </c>
      <c r="I724" s="304">
        <f t="shared" ca="1" si="332"/>
        <v>120.93493314750722</v>
      </c>
      <c r="J724" s="306">
        <f t="shared" ca="1" si="333"/>
        <v>755.70453742140728</v>
      </c>
      <c r="K724" s="307">
        <f t="shared" ca="1" si="334"/>
        <v>-4.8349969654411407</v>
      </c>
      <c r="L724" s="304">
        <f t="shared" ca="1" si="319"/>
        <v>755.72000441629109</v>
      </c>
      <c r="M724" s="306">
        <f t="shared" ca="1" si="335"/>
        <v>-1.4724027903627845</v>
      </c>
      <c r="N724" s="304">
        <f t="shared" ca="1" si="336"/>
        <v>-84.362465631073277</v>
      </c>
      <c r="P724" s="310">
        <f t="shared" ca="1" si="337"/>
        <v>23</v>
      </c>
      <c r="Q724" s="304">
        <f t="shared" ca="1" si="338"/>
        <v>0</v>
      </c>
      <c r="R724" s="306">
        <f t="shared" ca="1" si="339"/>
        <v>0</v>
      </c>
      <c r="S724" s="307">
        <f t="shared" ca="1" si="340"/>
        <v>7.9769999999999968</v>
      </c>
      <c r="T724" s="304">
        <f t="shared" ca="1" si="320"/>
        <v>78.254369999999966</v>
      </c>
      <c r="U724" s="311">
        <f t="shared" ca="1" si="321"/>
        <v>0</v>
      </c>
      <c r="V724" s="306">
        <f t="shared" ca="1" si="322"/>
        <v>1.2255924303482133</v>
      </c>
      <c r="W724" s="304">
        <f t="shared" ca="1" si="323"/>
        <v>59.208388426976896</v>
      </c>
      <c r="Y724" s="314" t="str">
        <f t="shared" ca="1" si="341"/>
        <v/>
      </c>
      <c r="Z724" s="315" t="str">
        <f t="shared" ca="1" si="342"/>
        <v/>
      </c>
      <c r="AA724" s="316" t="str">
        <f t="shared" ca="1" si="343"/>
        <v/>
      </c>
      <c r="AC724" s="310" t="e">
        <f t="shared" ca="1" si="344"/>
        <v>#N/A</v>
      </c>
      <c r="AD724" s="323" t="e">
        <f t="shared" ca="1" si="345"/>
        <v>#N/A</v>
      </c>
      <c r="AE724" s="324" t="e">
        <f t="shared" ca="1" si="324"/>
        <v>#N/A</v>
      </c>
      <c r="AG724" s="306">
        <f t="shared" ca="1" si="346"/>
        <v>2.340200553180062</v>
      </c>
      <c r="AH724" s="304">
        <f t="shared" ca="1" si="347"/>
        <v>-7.4223502598791233</v>
      </c>
    </row>
    <row r="725" spans="1:34" x14ac:dyDescent="0.2">
      <c r="A725" s="347">
        <f t="shared" ca="1" si="325"/>
        <v>1E-4</v>
      </c>
      <c r="B725" s="304">
        <f t="shared" ca="1" si="326"/>
        <v>33.620500000000888</v>
      </c>
      <c r="D725" s="306">
        <f t="shared" ca="1" si="327"/>
        <v>-0.7291371680722778</v>
      </c>
      <c r="E725" s="307">
        <f t="shared" ca="1" si="328"/>
        <v>-2.4235122416075283</v>
      </c>
      <c r="F725" s="304">
        <f t="shared" ca="1" si="329"/>
        <v>2.5308205379058406</v>
      </c>
      <c r="G725" s="306">
        <f t="shared" ca="1" si="330"/>
        <v>11.879952172921595</v>
      </c>
      <c r="H725" s="307">
        <f t="shared" ca="1" si="331"/>
        <v>-120.35024467500014</v>
      </c>
      <c r="I725" s="304">
        <f t="shared" ca="1" si="332"/>
        <v>120.93516716391186</v>
      </c>
      <c r="J725" s="306">
        <f t="shared" ca="1" si="333"/>
        <v>755.70453742140728</v>
      </c>
      <c r="K725" s="307">
        <f t="shared" ca="1" si="334"/>
        <v>-4.8470319777910795</v>
      </c>
      <c r="L725" s="304">
        <f t="shared" ca="1" si="319"/>
        <v>755.72008151053979</v>
      </c>
      <c r="M725" s="306">
        <f t="shared" ca="1" si="335"/>
        <v>-1.472403587222711</v>
      </c>
      <c r="N725" s="304">
        <f t="shared" ca="1" si="336"/>
        <v>-84.362511287783931</v>
      </c>
      <c r="P725" s="310">
        <f t="shared" ca="1" si="337"/>
        <v>23</v>
      </c>
      <c r="Q725" s="304">
        <f t="shared" ca="1" si="338"/>
        <v>0</v>
      </c>
      <c r="R725" s="306">
        <f t="shared" ca="1" si="339"/>
        <v>0</v>
      </c>
      <c r="S725" s="307">
        <f t="shared" ca="1" si="340"/>
        <v>7.9769999999999968</v>
      </c>
      <c r="T725" s="304">
        <f t="shared" ca="1" si="320"/>
        <v>78.254369999999966</v>
      </c>
      <c r="U725" s="311">
        <f t="shared" ca="1" si="321"/>
        <v>0</v>
      </c>
      <c r="V725" s="306">
        <f t="shared" ca="1" si="322"/>
        <v>1.2255939053511911</v>
      </c>
      <c r="W725" s="304">
        <f t="shared" ca="1" si="323"/>
        <v>59.208688828510063</v>
      </c>
      <c r="Y725" s="314" t="str">
        <f t="shared" ca="1" si="341"/>
        <v/>
      </c>
      <c r="Z725" s="315" t="str">
        <f t="shared" ca="1" si="342"/>
        <v/>
      </c>
      <c r="AA725" s="316" t="str">
        <f t="shared" ca="1" si="343"/>
        <v/>
      </c>
      <c r="AC725" s="310" t="e">
        <f t="shared" ca="1" si="344"/>
        <v>#N/A</v>
      </c>
      <c r="AD725" s="323" t="e">
        <f t="shared" ca="1" si="345"/>
        <v>#N/A</v>
      </c>
      <c r="AE725" s="324" t="e">
        <f t="shared" ca="1" si="324"/>
        <v>#N/A</v>
      </c>
      <c r="AG725" s="306">
        <f t="shared" ca="1" si="346"/>
        <v>2.3401636623528388</v>
      </c>
      <c r="AH725" s="304">
        <f t="shared" ca="1" si="347"/>
        <v>-7.4223879186381998</v>
      </c>
    </row>
    <row r="726" spans="1:34" x14ac:dyDescent="0.2">
      <c r="A726" s="347">
        <f t="shared" ca="1" si="325"/>
        <v>1E-4</v>
      </c>
      <c r="B726" s="304">
        <f t="shared" ca="1" si="326"/>
        <v>33.620600000000891</v>
      </c>
      <c r="D726" s="306">
        <f t="shared" ca="1" si="327"/>
        <v>-0.72913498141925381</v>
      </c>
      <c r="E726" s="307">
        <f t="shared" ca="1" si="328"/>
        <v>-2.4234741842711944</v>
      </c>
      <c r="F726" s="304">
        <f t="shared" ca="1" si="329"/>
        <v>2.5307834642573011</v>
      </c>
      <c r="G726" s="306">
        <f t="shared" ca="1" si="330"/>
        <v>11.879879259423452</v>
      </c>
      <c r="H726" s="307">
        <f t="shared" ca="1" si="331"/>
        <v>-120.35048702241856</v>
      </c>
      <c r="I726" s="304">
        <f t="shared" ca="1" si="332"/>
        <v>120.93540117662742</v>
      </c>
      <c r="J726" s="306">
        <f t="shared" ca="1" si="333"/>
        <v>755.70453742140728</v>
      </c>
      <c r="K726" s="307">
        <f t="shared" ca="1" si="334"/>
        <v>-4.8590670143759507</v>
      </c>
      <c r="L726" s="304">
        <f t="shared" ca="1" si="319"/>
        <v>755.72015879659671</v>
      </c>
      <c r="M726" s="306">
        <f t="shared" ca="1" si="335"/>
        <v>-1.4724043840746628</v>
      </c>
      <c r="N726" s="304">
        <f t="shared" ca="1" si="336"/>
        <v>-84.362556944037664</v>
      </c>
      <c r="P726" s="310">
        <f t="shared" ca="1" si="337"/>
        <v>23</v>
      </c>
      <c r="Q726" s="304">
        <f t="shared" ca="1" si="338"/>
        <v>0</v>
      </c>
      <c r="R726" s="306">
        <f t="shared" ca="1" si="339"/>
        <v>0</v>
      </c>
      <c r="S726" s="307">
        <f t="shared" ca="1" si="340"/>
        <v>7.9769999999999968</v>
      </c>
      <c r="T726" s="304">
        <f t="shared" ca="1" si="320"/>
        <v>78.254369999999966</v>
      </c>
      <c r="U726" s="311">
        <f t="shared" ca="1" si="321"/>
        <v>0</v>
      </c>
      <c r="V726" s="306">
        <f t="shared" ca="1" si="322"/>
        <v>1.2255953803589141</v>
      </c>
      <c r="W726" s="304">
        <f t="shared" ca="1" si="323"/>
        <v>59.208989227655145</v>
      </c>
      <c r="Y726" s="314" t="str">
        <f t="shared" ca="1" si="341"/>
        <v/>
      </c>
      <c r="Z726" s="315" t="str">
        <f t="shared" ca="1" si="342"/>
        <v/>
      </c>
      <c r="AA726" s="316" t="str">
        <f t="shared" ca="1" si="343"/>
        <v/>
      </c>
      <c r="AC726" s="310" t="e">
        <f t="shared" ca="1" si="344"/>
        <v>#N/A</v>
      </c>
      <c r="AD726" s="323" t="e">
        <f t="shared" ca="1" si="345"/>
        <v>#N/A</v>
      </c>
      <c r="AE726" s="324" t="e">
        <f t="shared" ca="1" si="324"/>
        <v>#N/A</v>
      </c>
      <c r="AG726" s="306">
        <f t="shared" ca="1" si="346"/>
        <v>2.3401267718110921</v>
      </c>
      <c r="AH726" s="304">
        <f t="shared" ca="1" si="347"/>
        <v>-7.4224255770979175</v>
      </c>
    </row>
    <row r="727" spans="1:34" x14ac:dyDescent="0.2">
      <c r="A727" s="347">
        <f t="shared" ca="1" si="325"/>
        <v>1E-4</v>
      </c>
      <c r="B727" s="304">
        <f t="shared" ca="1" si="326"/>
        <v>33.620700000000895</v>
      </c>
      <c r="D727" s="306">
        <f t="shared" ca="1" si="327"/>
        <v>-0.72913279473553794</v>
      </c>
      <c r="E727" s="307">
        <f t="shared" ca="1" si="328"/>
        <v>-2.4234361272373937</v>
      </c>
      <c r="F727" s="304">
        <f t="shared" ca="1" si="329"/>
        <v>2.5307463909207168</v>
      </c>
      <c r="G727" s="306">
        <f t="shared" ca="1" si="330"/>
        <v>11.87980634614398</v>
      </c>
      <c r="H727" s="307">
        <f t="shared" ca="1" si="331"/>
        <v>-120.35072936603129</v>
      </c>
      <c r="I727" s="304">
        <f t="shared" ca="1" si="332"/>
        <v>120.93563518565398</v>
      </c>
      <c r="J727" s="306">
        <f t="shared" ca="1" si="333"/>
        <v>755.70453742140728</v>
      </c>
      <c r="K727" s="307">
        <f t="shared" ca="1" si="334"/>
        <v>-4.8711020751953731</v>
      </c>
      <c r="L727" s="304">
        <f t="shared" ca="1" si="319"/>
        <v>755.72023627446299</v>
      </c>
      <c r="M727" s="306">
        <f t="shared" ca="1" si="335"/>
        <v>-1.4724051809186403</v>
      </c>
      <c r="N727" s="304">
        <f t="shared" ca="1" si="336"/>
        <v>-84.362602599834503</v>
      </c>
      <c r="P727" s="310">
        <f t="shared" ca="1" si="337"/>
        <v>23</v>
      </c>
      <c r="Q727" s="304">
        <f t="shared" ca="1" si="338"/>
        <v>0</v>
      </c>
      <c r="R727" s="306">
        <f t="shared" ca="1" si="339"/>
        <v>0</v>
      </c>
      <c r="S727" s="307">
        <f t="shared" ca="1" si="340"/>
        <v>7.9769999999999968</v>
      </c>
      <c r="T727" s="304">
        <f t="shared" ca="1" si="320"/>
        <v>78.254369999999966</v>
      </c>
      <c r="U727" s="311">
        <f t="shared" ca="1" si="321"/>
        <v>0</v>
      </c>
      <c r="V727" s="306">
        <f t="shared" ca="1" si="322"/>
        <v>1.2255968553713834</v>
      </c>
      <c r="W727" s="304">
        <f t="shared" ca="1" si="323"/>
        <v>59.209289624412214</v>
      </c>
      <c r="Y727" s="314" t="str">
        <f t="shared" ca="1" si="341"/>
        <v/>
      </c>
      <c r="Z727" s="315" t="str">
        <f t="shared" ca="1" si="342"/>
        <v/>
      </c>
      <c r="AA727" s="316" t="str">
        <f t="shared" ca="1" si="343"/>
        <v/>
      </c>
      <c r="AC727" s="310" t="e">
        <f t="shared" ca="1" si="344"/>
        <v>#N/A</v>
      </c>
      <c r="AD727" s="323" t="e">
        <f t="shared" ca="1" si="345"/>
        <v>#N/A</v>
      </c>
      <c r="AE727" s="324" t="e">
        <f t="shared" ca="1" si="324"/>
        <v>#N/A</v>
      </c>
      <c r="AG727" s="306">
        <f t="shared" ca="1" si="346"/>
        <v>2.340089881554829</v>
      </c>
      <c r="AH727" s="304">
        <f t="shared" ca="1" si="347"/>
        <v>-7.422463235258264</v>
      </c>
    </row>
    <row r="728" spans="1:34" x14ac:dyDescent="0.2">
      <c r="A728" s="347">
        <f t="shared" ca="1" si="325"/>
        <v>1E-4</v>
      </c>
      <c r="B728" s="304">
        <f t="shared" ca="1" si="326"/>
        <v>33.620800000000898</v>
      </c>
      <c r="D728" s="306">
        <f t="shared" ca="1" si="327"/>
        <v>-0.72913060802112895</v>
      </c>
      <c r="E728" s="307">
        <f t="shared" ca="1" si="328"/>
        <v>-2.4233980705061162</v>
      </c>
      <c r="F728" s="304">
        <f t="shared" ca="1" si="329"/>
        <v>2.5307093178960769</v>
      </c>
      <c r="G728" s="306">
        <f t="shared" ca="1" si="330"/>
        <v>11.879733433083178</v>
      </c>
      <c r="H728" s="307">
        <f t="shared" ca="1" si="331"/>
        <v>-120.35097170583833</v>
      </c>
      <c r="I728" s="304">
        <f t="shared" ca="1" si="332"/>
        <v>120.93586919099153</v>
      </c>
      <c r="J728" s="306">
        <f t="shared" ca="1" si="333"/>
        <v>755.70453742140728</v>
      </c>
      <c r="K728" s="307">
        <f t="shared" ca="1" si="334"/>
        <v>-4.8831371602489666</v>
      </c>
      <c r="L728" s="304">
        <f t="shared" ca="1" si="319"/>
        <v>755.72031394413966</v>
      </c>
      <c r="M728" s="306">
        <f t="shared" ca="1" si="335"/>
        <v>-1.4724059777546432</v>
      </c>
      <c r="N728" s="304">
        <f t="shared" ca="1" si="336"/>
        <v>-84.362648255174435</v>
      </c>
      <c r="P728" s="310">
        <f t="shared" ca="1" si="337"/>
        <v>23</v>
      </c>
      <c r="Q728" s="304">
        <f t="shared" ca="1" si="338"/>
        <v>0</v>
      </c>
      <c r="R728" s="306">
        <f t="shared" ca="1" si="339"/>
        <v>0</v>
      </c>
      <c r="S728" s="307">
        <f t="shared" ca="1" si="340"/>
        <v>7.9769999999999968</v>
      </c>
      <c r="T728" s="304">
        <f t="shared" ca="1" si="320"/>
        <v>78.254369999999966</v>
      </c>
      <c r="U728" s="311">
        <f t="shared" ca="1" si="321"/>
        <v>0</v>
      </c>
      <c r="V728" s="306">
        <f t="shared" ca="1" si="322"/>
        <v>1.2255983303885984</v>
      </c>
      <c r="W728" s="304">
        <f t="shared" ca="1" si="323"/>
        <v>59.209590018781263</v>
      </c>
      <c r="Y728" s="314" t="str">
        <f t="shared" ca="1" si="341"/>
        <v/>
      </c>
      <c r="Z728" s="315" t="str">
        <f t="shared" ca="1" si="342"/>
        <v/>
      </c>
      <c r="AA728" s="316" t="str">
        <f t="shared" ca="1" si="343"/>
        <v/>
      </c>
      <c r="AC728" s="310" t="e">
        <f t="shared" ca="1" si="344"/>
        <v>#N/A</v>
      </c>
      <c r="AD728" s="323" t="e">
        <f t="shared" ca="1" si="345"/>
        <v>#N/A</v>
      </c>
      <c r="AE728" s="324" t="e">
        <f t="shared" ca="1" si="324"/>
        <v>#N/A</v>
      </c>
      <c r="AG728" s="306">
        <f t="shared" ca="1" si="346"/>
        <v>2.3400529915840487</v>
      </c>
      <c r="AH728" s="304">
        <f t="shared" ca="1" si="347"/>
        <v>-7.4225008931192473</v>
      </c>
    </row>
    <row r="729" spans="1:34" x14ac:dyDescent="0.2">
      <c r="A729" s="347">
        <f t="shared" ca="1" si="325"/>
        <v>1E-4</v>
      </c>
      <c r="B729" s="304">
        <f t="shared" ca="1" si="326"/>
        <v>33.620900000000901</v>
      </c>
      <c r="D729" s="306">
        <f t="shared" ca="1" si="327"/>
        <v>-0.72912842127603039</v>
      </c>
      <c r="E729" s="307">
        <f t="shared" ca="1" si="328"/>
        <v>-2.4233600140773639</v>
      </c>
      <c r="F729" s="304">
        <f t="shared" ca="1" si="329"/>
        <v>2.5306722451833856</v>
      </c>
      <c r="G729" s="306">
        <f t="shared" ca="1" si="330"/>
        <v>11.87966052024105</v>
      </c>
      <c r="H729" s="307">
        <f t="shared" ca="1" si="331"/>
        <v>-120.35121404183974</v>
      </c>
      <c r="I729" s="304">
        <f t="shared" ca="1" si="332"/>
        <v>120.9361031926401</v>
      </c>
      <c r="J729" s="306">
        <f t="shared" ca="1" si="333"/>
        <v>755.70453742140728</v>
      </c>
      <c r="K729" s="307">
        <f t="shared" ca="1" si="334"/>
        <v>-4.8951722695363502</v>
      </c>
      <c r="L729" s="304">
        <f t="shared" ca="1" si="319"/>
        <v>755.72039180562774</v>
      </c>
      <c r="M729" s="306">
        <f t="shared" ca="1" si="335"/>
        <v>-1.4724067745826719</v>
      </c>
      <c r="N729" s="304">
        <f t="shared" ca="1" si="336"/>
        <v>-84.362693910057473</v>
      </c>
      <c r="P729" s="310">
        <f t="shared" ca="1" si="337"/>
        <v>23</v>
      </c>
      <c r="Q729" s="304">
        <f t="shared" ca="1" si="338"/>
        <v>0</v>
      </c>
      <c r="R729" s="306">
        <f t="shared" ca="1" si="339"/>
        <v>0</v>
      </c>
      <c r="S729" s="307">
        <f t="shared" ca="1" si="340"/>
        <v>7.9769999999999968</v>
      </c>
      <c r="T729" s="304">
        <f t="shared" ca="1" si="320"/>
        <v>78.254369999999966</v>
      </c>
      <c r="U729" s="311">
        <f t="shared" ca="1" si="321"/>
        <v>0</v>
      </c>
      <c r="V729" s="306">
        <f t="shared" ca="1" si="322"/>
        <v>1.2255998054105588</v>
      </c>
      <c r="W729" s="304">
        <f t="shared" ca="1" si="323"/>
        <v>59.209890410762227</v>
      </c>
      <c r="Y729" s="314" t="str">
        <f t="shared" ca="1" si="341"/>
        <v/>
      </c>
      <c r="Z729" s="315" t="str">
        <f t="shared" ca="1" si="342"/>
        <v/>
      </c>
      <c r="AA729" s="316" t="str">
        <f t="shared" ca="1" si="343"/>
        <v/>
      </c>
      <c r="AC729" s="310" t="e">
        <f t="shared" ca="1" si="344"/>
        <v>#N/A</v>
      </c>
      <c r="AD729" s="323" t="e">
        <f t="shared" ca="1" si="345"/>
        <v>#N/A</v>
      </c>
      <c r="AE729" s="324" t="e">
        <f t="shared" ca="1" si="324"/>
        <v>#N/A</v>
      </c>
      <c r="AG729" s="306">
        <f t="shared" ca="1" si="346"/>
        <v>2.3400161018987484</v>
      </c>
      <c r="AH729" s="304">
        <f t="shared" ca="1" si="347"/>
        <v>-7.4225385506808683</v>
      </c>
    </row>
    <row r="730" spans="1:34" x14ac:dyDescent="0.2">
      <c r="A730" s="347">
        <f t="shared" ca="1" si="325"/>
        <v>1E-4</v>
      </c>
      <c r="B730" s="304">
        <f t="shared" ca="1" si="326"/>
        <v>33.621000000000905</v>
      </c>
      <c r="D730" s="306">
        <f t="shared" ca="1" si="327"/>
        <v>-0.72912623450024128</v>
      </c>
      <c r="E730" s="307">
        <f t="shared" ca="1" si="328"/>
        <v>-2.4233219579511438</v>
      </c>
      <c r="F730" s="304">
        <f t="shared" ca="1" si="329"/>
        <v>2.5306351727826484</v>
      </c>
      <c r="G730" s="306">
        <f t="shared" ca="1" si="330"/>
        <v>11.8795876076176</v>
      </c>
      <c r="H730" s="307">
        <f t="shared" ca="1" si="331"/>
        <v>-120.35145637403554</v>
      </c>
      <c r="I730" s="304">
        <f t="shared" ca="1" si="332"/>
        <v>120.93633719059976</v>
      </c>
      <c r="J730" s="306">
        <f t="shared" ca="1" si="333"/>
        <v>755.70453742140728</v>
      </c>
      <c r="K730" s="307">
        <f t="shared" ca="1" si="334"/>
        <v>-4.9072074030571438</v>
      </c>
      <c r="L730" s="304">
        <f t="shared" ca="1" si="319"/>
        <v>755.7204698589286</v>
      </c>
      <c r="M730" s="306">
        <f t="shared" ca="1" si="335"/>
        <v>-1.4724075714027263</v>
      </c>
      <c r="N730" s="304">
        <f t="shared" ca="1" si="336"/>
        <v>-84.362739564483618</v>
      </c>
      <c r="P730" s="310">
        <f t="shared" ca="1" si="337"/>
        <v>23</v>
      </c>
      <c r="Q730" s="304">
        <f t="shared" ca="1" si="338"/>
        <v>0</v>
      </c>
      <c r="R730" s="306">
        <f t="shared" ca="1" si="339"/>
        <v>0</v>
      </c>
      <c r="S730" s="307">
        <f t="shared" ca="1" si="340"/>
        <v>7.9769999999999968</v>
      </c>
      <c r="T730" s="304">
        <f t="shared" ca="1" si="320"/>
        <v>78.254369999999966</v>
      </c>
      <c r="U730" s="311">
        <f t="shared" ca="1" si="321"/>
        <v>0</v>
      </c>
      <c r="V730" s="306">
        <f t="shared" ca="1" si="322"/>
        <v>1.2256012804372649</v>
      </c>
      <c r="W730" s="304">
        <f t="shared" ca="1" si="323"/>
        <v>59.210190800355178</v>
      </c>
      <c r="Y730" s="314" t="str">
        <f t="shared" ca="1" si="341"/>
        <v/>
      </c>
      <c r="Z730" s="315" t="str">
        <f t="shared" ca="1" si="342"/>
        <v/>
      </c>
      <c r="AA730" s="316" t="str">
        <f t="shared" ca="1" si="343"/>
        <v/>
      </c>
      <c r="AC730" s="310" t="e">
        <f t="shared" ca="1" si="344"/>
        <v>#N/A</v>
      </c>
      <c r="AD730" s="323" t="e">
        <f t="shared" ca="1" si="345"/>
        <v>#N/A</v>
      </c>
      <c r="AE730" s="324" t="e">
        <f t="shared" ca="1" si="324"/>
        <v>#N/A</v>
      </c>
      <c r="AG730" s="306">
        <f t="shared" ca="1" si="346"/>
        <v>2.3399792124989318</v>
      </c>
      <c r="AH730" s="304">
        <f t="shared" ca="1" si="347"/>
        <v>-7.4225762079431181</v>
      </c>
    </row>
    <row r="731" spans="1:34" x14ac:dyDescent="0.2">
      <c r="A731" s="347">
        <f t="shared" ca="1" si="325"/>
        <v>1E-4</v>
      </c>
      <c r="B731" s="304">
        <f t="shared" ca="1" si="326"/>
        <v>33.621100000000908</v>
      </c>
      <c r="D731" s="306">
        <f t="shared" ca="1" si="327"/>
        <v>-0.72912404769376415</v>
      </c>
      <c r="E731" s="307">
        <f t="shared" ca="1" si="328"/>
        <v>-2.423283902127447</v>
      </c>
      <c r="F731" s="304">
        <f t="shared" ca="1" si="329"/>
        <v>2.5305981006938589</v>
      </c>
      <c r="G731" s="306">
        <f t="shared" ca="1" si="330"/>
        <v>11.87951469521283</v>
      </c>
      <c r="H731" s="307">
        <f t="shared" ca="1" si="331"/>
        <v>-120.35169870242575</v>
      </c>
      <c r="I731" s="304">
        <f t="shared" ca="1" si="332"/>
        <v>120.93657118487049</v>
      </c>
      <c r="J731" s="306">
        <f t="shared" ca="1" si="333"/>
        <v>755.70453742140728</v>
      </c>
      <c r="K731" s="307">
        <f t="shared" ca="1" si="334"/>
        <v>-4.9192425608109671</v>
      </c>
      <c r="L731" s="304">
        <f t="shared" ca="1" si="319"/>
        <v>755.72054810404313</v>
      </c>
      <c r="M731" s="306">
        <f t="shared" ca="1" si="335"/>
        <v>-1.4724083682148068</v>
      </c>
      <c r="N731" s="304">
        <f t="shared" ca="1" si="336"/>
        <v>-84.362785218452899</v>
      </c>
      <c r="P731" s="310">
        <f t="shared" ca="1" si="337"/>
        <v>23</v>
      </c>
      <c r="Q731" s="304">
        <f t="shared" ca="1" si="338"/>
        <v>0</v>
      </c>
      <c r="R731" s="306">
        <f t="shared" ca="1" si="339"/>
        <v>0</v>
      </c>
      <c r="S731" s="307">
        <f t="shared" ca="1" si="340"/>
        <v>7.9769999999999968</v>
      </c>
      <c r="T731" s="304">
        <f t="shared" ca="1" si="320"/>
        <v>78.254369999999966</v>
      </c>
      <c r="U731" s="311">
        <f t="shared" ca="1" si="321"/>
        <v>0</v>
      </c>
      <c r="V731" s="306">
        <f t="shared" ca="1" si="322"/>
        <v>1.2256027554687174</v>
      </c>
      <c r="W731" s="304">
        <f t="shared" ca="1" si="323"/>
        <v>59.210491187560095</v>
      </c>
      <c r="Y731" s="314" t="str">
        <f t="shared" ca="1" si="341"/>
        <v/>
      </c>
      <c r="Z731" s="315" t="str">
        <f t="shared" ca="1" si="342"/>
        <v/>
      </c>
      <c r="AA731" s="316" t="str">
        <f t="shared" ca="1" si="343"/>
        <v/>
      </c>
      <c r="AC731" s="310" t="e">
        <f t="shared" ca="1" si="344"/>
        <v>#N/A</v>
      </c>
      <c r="AD731" s="323" t="e">
        <f t="shared" ca="1" si="345"/>
        <v>#N/A</v>
      </c>
      <c r="AE731" s="324" t="e">
        <f t="shared" ca="1" si="324"/>
        <v>#N/A</v>
      </c>
      <c r="AG731" s="306">
        <f t="shared" ca="1" si="346"/>
        <v>2.3399423233845997</v>
      </c>
      <c r="AH731" s="304">
        <f t="shared" ca="1" si="347"/>
        <v>-7.4226138649060047</v>
      </c>
    </row>
    <row r="732" spans="1:34" x14ac:dyDescent="0.2">
      <c r="A732" s="347">
        <f t="shared" ca="1" si="325"/>
        <v>1E-4</v>
      </c>
      <c r="B732" s="304">
        <f t="shared" ca="1" si="326"/>
        <v>33.621200000000911</v>
      </c>
      <c r="D732" s="306">
        <f t="shared" ca="1" si="327"/>
        <v>-0.72912186085659714</v>
      </c>
      <c r="E732" s="307">
        <f t="shared" ca="1" si="328"/>
        <v>-2.4232458466062763</v>
      </c>
      <c r="F732" s="304">
        <f t="shared" ca="1" si="329"/>
        <v>2.5305610289170177</v>
      </c>
      <c r="G732" s="306">
        <f t="shared" ca="1" si="330"/>
        <v>11.879441783026744</v>
      </c>
      <c r="H732" s="307">
        <f t="shared" ca="1" si="331"/>
        <v>-120.35194102701041</v>
      </c>
      <c r="I732" s="304">
        <f t="shared" ca="1" si="332"/>
        <v>120.93680517545232</v>
      </c>
      <c r="J732" s="306">
        <f t="shared" ca="1" si="333"/>
        <v>755.70453742140728</v>
      </c>
      <c r="K732" s="307">
        <f t="shared" ca="1" si="334"/>
        <v>-4.9312777427974392</v>
      </c>
      <c r="L732" s="304">
        <f t="shared" ca="1" si="319"/>
        <v>755.72062654097238</v>
      </c>
      <c r="M732" s="306">
        <f t="shared" ca="1" si="335"/>
        <v>-1.4724091650189135</v>
      </c>
      <c r="N732" s="304">
        <f t="shared" ca="1" si="336"/>
        <v>-84.362830871965315</v>
      </c>
      <c r="P732" s="310">
        <f t="shared" ca="1" si="337"/>
        <v>23</v>
      </c>
      <c r="Q732" s="304">
        <f t="shared" ca="1" si="338"/>
        <v>0</v>
      </c>
      <c r="R732" s="306">
        <f t="shared" ca="1" si="339"/>
        <v>0</v>
      </c>
      <c r="S732" s="307">
        <f t="shared" ca="1" si="340"/>
        <v>7.9769999999999968</v>
      </c>
      <c r="T732" s="304">
        <f t="shared" ca="1" si="320"/>
        <v>78.254369999999966</v>
      </c>
      <c r="U732" s="311">
        <f t="shared" ca="1" si="321"/>
        <v>0</v>
      </c>
      <c r="V732" s="306">
        <f t="shared" ca="1" si="322"/>
        <v>1.2256042305049148</v>
      </c>
      <c r="W732" s="304">
        <f t="shared" ca="1" si="323"/>
        <v>59.21079157237692</v>
      </c>
      <c r="Y732" s="314" t="str">
        <f t="shared" ca="1" si="341"/>
        <v/>
      </c>
      <c r="Z732" s="315" t="str">
        <f t="shared" ca="1" si="342"/>
        <v/>
      </c>
      <c r="AA732" s="316" t="str">
        <f t="shared" ca="1" si="343"/>
        <v/>
      </c>
      <c r="AC732" s="310" t="e">
        <f t="shared" ca="1" si="344"/>
        <v>#N/A</v>
      </c>
      <c r="AD732" s="323" t="e">
        <f t="shared" ca="1" si="345"/>
        <v>#N/A</v>
      </c>
      <c r="AE732" s="324" t="e">
        <f t="shared" ca="1" si="324"/>
        <v>#N/A</v>
      </c>
      <c r="AG732" s="306">
        <f t="shared" ca="1" si="346"/>
        <v>2.339905434555746</v>
      </c>
      <c r="AH732" s="304">
        <f t="shared" ca="1" si="347"/>
        <v>-7.4226515215695272</v>
      </c>
    </row>
    <row r="733" spans="1:34" x14ac:dyDescent="0.2">
      <c r="A733" s="347">
        <f t="shared" ca="1" si="325"/>
        <v>1E-4</v>
      </c>
      <c r="B733" s="304">
        <f t="shared" ca="1" si="326"/>
        <v>33.621300000000915</v>
      </c>
      <c r="D733" s="306">
        <f t="shared" ca="1" si="327"/>
        <v>-0.729119673988741</v>
      </c>
      <c r="E733" s="307">
        <f t="shared" ca="1" si="328"/>
        <v>-2.4232077913876395</v>
      </c>
      <c r="F733" s="304">
        <f t="shared" ca="1" si="329"/>
        <v>2.5305239574521341</v>
      </c>
      <c r="G733" s="306">
        <f t="shared" ca="1" si="330"/>
        <v>11.879368871059345</v>
      </c>
      <c r="H733" s="307">
        <f t="shared" ca="1" si="331"/>
        <v>-120.35218334778955</v>
      </c>
      <c r="I733" s="304">
        <f t="shared" ca="1" si="332"/>
        <v>120.93703916234533</v>
      </c>
      <c r="J733" s="306">
        <f t="shared" ca="1" si="333"/>
        <v>755.70453742140728</v>
      </c>
      <c r="K733" s="307">
        <f t="shared" ca="1" si="334"/>
        <v>-4.9433129490161791</v>
      </c>
      <c r="L733" s="304">
        <f t="shared" ca="1" si="319"/>
        <v>755.72070516971746</v>
      </c>
      <c r="M733" s="306">
        <f t="shared" ca="1" si="335"/>
        <v>-1.4724099618150461</v>
      </c>
      <c r="N733" s="304">
        <f t="shared" ca="1" si="336"/>
        <v>-84.362876525020852</v>
      </c>
      <c r="P733" s="310">
        <f t="shared" ca="1" si="337"/>
        <v>23</v>
      </c>
      <c r="Q733" s="304">
        <f t="shared" ca="1" si="338"/>
        <v>0</v>
      </c>
      <c r="R733" s="306">
        <f t="shared" ca="1" si="339"/>
        <v>0</v>
      </c>
      <c r="S733" s="307">
        <f t="shared" ca="1" si="340"/>
        <v>7.9769999999999968</v>
      </c>
      <c r="T733" s="304">
        <f t="shared" ca="1" si="320"/>
        <v>78.254369999999966</v>
      </c>
      <c r="U733" s="311">
        <f t="shared" ca="1" si="321"/>
        <v>0</v>
      </c>
      <c r="V733" s="306">
        <f t="shared" ca="1" si="322"/>
        <v>1.225605705545858</v>
      </c>
      <c r="W733" s="304">
        <f t="shared" ca="1" si="323"/>
        <v>59.211091954805724</v>
      </c>
      <c r="Y733" s="314" t="str">
        <f t="shared" ca="1" si="341"/>
        <v/>
      </c>
      <c r="Z733" s="315" t="str">
        <f t="shared" ca="1" si="342"/>
        <v/>
      </c>
      <c r="AA733" s="316" t="str">
        <f t="shared" ca="1" si="343"/>
        <v/>
      </c>
      <c r="AC733" s="310" t="e">
        <f t="shared" ca="1" si="344"/>
        <v>#N/A</v>
      </c>
      <c r="AD733" s="323" t="e">
        <f t="shared" ca="1" si="345"/>
        <v>#N/A</v>
      </c>
      <c r="AE733" s="324" t="e">
        <f t="shared" ca="1" si="324"/>
        <v>#N/A</v>
      </c>
      <c r="AG733" s="306">
        <f t="shared" ca="1" si="346"/>
        <v>2.3398685460123838</v>
      </c>
      <c r="AH733" s="304">
        <f t="shared" ca="1" si="347"/>
        <v>-7.4226891779336777</v>
      </c>
    </row>
    <row r="734" spans="1:34" x14ac:dyDescent="0.2">
      <c r="A734" s="347">
        <f t="shared" ca="1" si="325"/>
        <v>1E-4</v>
      </c>
      <c r="B734" s="304">
        <f t="shared" ca="1" si="326"/>
        <v>33.621400000000918</v>
      </c>
      <c r="D734" s="306">
        <f t="shared" ca="1" si="327"/>
        <v>-0.72911748709020008</v>
      </c>
      <c r="E734" s="307">
        <f t="shared" ca="1" si="328"/>
        <v>-2.4231697364715279</v>
      </c>
      <c r="F734" s="304">
        <f t="shared" ca="1" si="329"/>
        <v>2.5304868862992005</v>
      </c>
      <c r="G734" s="306">
        <f t="shared" ca="1" si="330"/>
        <v>11.879295959310635</v>
      </c>
      <c r="H734" s="307">
        <f t="shared" ca="1" si="331"/>
        <v>-120.35242566476319</v>
      </c>
      <c r="I734" s="304">
        <f t="shared" ca="1" si="332"/>
        <v>120.93727314554948</v>
      </c>
      <c r="J734" s="306">
        <f t="shared" ca="1" si="333"/>
        <v>755.70453742140728</v>
      </c>
      <c r="K734" s="307">
        <f t="shared" ca="1" si="334"/>
        <v>-4.9553481794668066</v>
      </c>
      <c r="L734" s="304">
        <f t="shared" ca="1" si="319"/>
        <v>755.72078399027964</v>
      </c>
      <c r="M734" s="306">
        <f t="shared" ca="1" si="335"/>
        <v>-1.4724107586032054</v>
      </c>
      <c r="N734" s="304">
        <f t="shared" ca="1" si="336"/>
        <v>-84.362922177619538</v>
      </c>
      <c r="P734" s="310">
        <f t="shared" ca="1" si="337"/>
        <v>23</v>
      </c>
      <c r="Q734" s="304">
        <f t="shared" ca="1" si="338"/>
        <v>0</v>
      </c>
      <c r="R734" s="306">
        <f t="shared" ca="1" si="339"/>
        <v>0</v>
      </c>
      <c r="S734" s="307">
        <f t="shared" ca="1" si="340"/>
        <v>7.9769999999999968</v>
      </c>
      <c r="T734" s="304">
        <f t="shared" ca="1" si="320"/>
        <v>78.254369999999966</v>
      </c>
      <c r="U734" s="311">
        <f t="shared" ca="1" si="321"/>
        <v>0</v>
      </c>
      <c r="V734" s="306">
        <f t="shared" ca="1" si="322"/>
        <v>1.2256071805915467</v>
      </c>
      <c r="W734" s="304">
        <f t="shared" ca="1" si="323"/>
        <v>59.211392334846437</v>
      </c>
      <c r="Y734" s="314" t="str">
        <f t="shared" ca="1" si="341"/>
        <v/>
      </c>
      <c r="Z734" s="315" t="str">
        <f t="shared" ca="1" si="342"/>
        <v/>
      </c>
      <c r="AA734" s="316" t="str">
        <f t="shared" ca="1" si="343"/>
        <v/>
      </c>
      <c r="AC734" s="310" t="e">
        <f t="shared" ca="1" si="344"/>
        <v>#N/A</v>
      </c>
      <c r="AD734" s="323" t="e">
        <f t="shared" ca="1" si="345"/>
        <v>#N/A</v>
      </c>
      <c r="AE734" s="324" t="e">
        <f t="shared" ca="1" si="324"/>
        <v>#N/A</v>
      </c>
      <c r="AG734" s="306">
        <f t="shared" ca="1" si="346"/>
        <v>2.3398316577545017</v>
      </c>
      <c r="AH734" s="304">
        <f t="shared" ca="1" si="347"/>
        <v>-7.422726833998464</v>
      </c>
    </row>
    <row r="735" spans="1:34" x14ac:dyDescent="0.2">
      <c r="A735" s="347">
        <f t="shared" ca="1" si="325"/>
        <v>1E-4</v>
      </c>
      <c r="B735" s="304">
        <f t="shared" ca="1" si="326"/>
        <v>33.621500000000921</v>
      </c>
      <c r="D735" s="306">
        <f t="shared" ca="1" si="327"/>
        <v>-0.72911530016097004</v>
      </c>
      <c r="E735" s="307">
        <f t="shared" ca="1" si="328"/>
        <v>-2.4231316818579476</v>
      </c>
      <c r="F735" s="304">
        <f t="shared" ca="1" si="329"/>
        <v>2.5304498154582213</v>
      </c>
      <c r="G735" s="306">
        <f t="shared" ca="1" si="330"/>
        <v>11.87922304778062</v>
      </c>
      <c r="H735" s="307">
        <f t="shared" ca="1" si="331"/>
        <v>-120.35266797793138</v>
      </c>
      <c r="I735" s="304">
        <f t="shared" ca="1" si="332"/>
        <v>120.93750712506485</v>
      </c>
      <c r="J735" s="306">
        <f t="shared" ca="1" si="333"/>
        <v>755.70453742140728</v>
      </c>
      <c r="K735" s="307">
        <f t="shared" ca="1" si="334"/>
        <v>-4.9673834341489416</v>
      </c>
      <c r="L735" s="304">
        <f t="shared" ca="1" si="319"/>
        <v>755.72086300265983</v>
      </c>
      <c r="M735" s="306">
        <f t="shared" ca="1" si="335"/>
        <v>-1.472411555383391</v>
      </c>
      <c r="N735" s="304">
        <f t="shared" ca="1" si="336"/>
        <v>-84.362967829761374</v>
      </c>
      <c r="P735" s="310">
        <f t="shared" ca="1" si="337"/>
        <v>23</v>
      </c>
      <c r="Q735" s="304">
        <f t="shared" ca="1" si="338"/>
        <v>0</v>
      </c>
      <c r="R735" s="306">
        <f t="shared" ca="1" si="339"/>
        <v>0</v>
      </c>
      <c r="S735" s="307">
        <f t="shared" ca="1" si="340"/>
        <v>7.9769999999999968</v>
      </c>
      <c r="T735" s="304">
        <f t="shared" ca="1" si="320"/>
        <v>78.254369999999966</v>
      </c>
      <c r="U735" s="311">
        <f t="shared" ca="1" si="321"/>
        <v>0</v>
      </c>
      <c r="V735" s="306">
        <f t="shared" ca="1" si="322"/>
        <v>1.225608655641981</v>
      </c>
      <c r="W735" s="304">
        <f t="shared" ca="1" si="323"/>
        <v>59.211692712499108</v>
      </c>
      <c r="Y735" s="314" t="str">
        <f t="shared" ca="1" si="341"/>
        <v/>
      </c>
      <c r="Z735" s="315" t="str">
        <f t="shared" ca="1" si="342"/>
        <v/>
      </c>
      <c r="AA735" s="316" t="str">
        <f t="shared" ca="1" si="343"/>
        <v/>
      </c>
      <c r="AC735" s="310" t="e">
        <f t="shared" ca="1" si="344"/>
        <v>#N/A</v>
      </c>
      <c r="AD735" s="323" t="e">
        <f t="shared" ca="1" si="345"/>
        <v>#N/A</v>
      </c>
      <c r="AE735" s="324" t="e">
        <f t="shared" ca="1" si="324"/>
        <v>#N/A</v>
      </c>
      <c r="AG735" s="306">
        <f t="shared" ca="1" si="346"/>
        <v>2.339794769782114</v>
      </c>
      <c r="AH735" s="304">
        <f t="shared" ca="1" si="347"/>
        <v>-7.4227644897638791</v>
      </c>
    </row>
    <row r="736" spans="1:34" x14ac:dyDescent="0.2">
      <c r="A736" s="347">
        <f t="shared" ca="1" si="325"/>
        <v>1E-4</v>
      </c>
      <c r="B736" s="304">
        <f t="shared" ca="1" si="326"/>
        <v>33.621600000000925</v>
      </c>
      <c r="D736" s="306">
        <f t="shared" ca="1" si="327"/>
        <v>-0.72911311320105476</v>
      </c>
      <c r="E736" s="307">
        <f t="shared" ca="1" si="328"/>
        <v>-2.4230936275468968</v>
      </c>
      <c r="F736" s="304">
        <f t="shared" ca="1" si="329"/>
        <v>2.5304127449291971</v>
      </c>
      <c r="G736" s="306">
        <f t="shared" ca="1" si="330"/>
        <v>11.879150136469299</v>
      </c>
      <c r="H736" s="307">
        <f t="shared" ca="1" si="331"/>
        <v>-120.35291028729414</v>
      </c>
      <c r="I736" s="304">
        <f t="shared" ca="1" si="332"/>
        <v>120.93774110089144</v>
      </c>
      <c r="J736" s="306">
        <f t="shared" ca="1" si="333"/>
        <v>755.70453742140728</v>
      </c>
      <c r="K736" s="307">
        <f t="shared" ca="1" si="334"/>
        <v>-4.979418713062203</v>
      </c>
      <c r="L736" s="304">
        <f t="shared" ca="1" si="319"/>
        <v>755.72094220685926</v>
      </c>
      <c r="M736" s="306">
        <f t="shared" ca="1" si="335"/>
        <v>-1.4724123521556032</v>
      </c>
      <c r="N736" s="304">
        <f t="shared" ca="1" si="336"/>
        <v>-84.363013481446359</v>
      </c>
      <c r="P736" s="310">
        <f t="shared" ca="1" si="337"/>
        <v>23</v>
      </c>
      <c r="Q736" s="304">
        <f t="shared" ca="1" si="338"/>
        <v>0</v>
      </c>
      <c r="R736" s="306">
        <f t="shared" ca="1" si="339"/>
        <v>0</v>
      </c>
      <c r="S736" s="307">
        <f t="shared" ca="1" si="340"/>
        <v>7.9769999999999968</v>
      </c>
      <c r="T736" s="304">
        <f t="shared" ca="1" si="320"/>
        <v>78.254369999999966</v>
      </c>
      <c r="U736" s="311">
        <f t="shared" ca="1" si="321"/>
        <v>0</v>
      </c>
      <c r="V736" s="306">
        <f t="shared" ca="1" si="322"/>
        <v>1.2256101306971605</v>
      </c>
      <c r="W736" s="304">
        <f t="shared" ca="1" si="323"/>
        <v>59.211993087763688</v>
      </c>
      <c r="Y736" s="314" t="str">
        <f t="shared" ca="1" si="341"/>
        <v/>
      </c>
      <c r="Z736" s="315" t="str">
        <f t="shared" ca="1" si="342"/>
        <v/>
      </c>
      <c r="AA736" s="316" t="str">
        <f t="shared" ca="1" si="343"/>
        <v/>
      </c>
      <c r="AC736" s="310" t="e">
        <f t="shared" ca="1" si="344"/>
        <v>#N/A</v>
      </c>
      <c r="AD736" s="323" t="e">
        <f t="shared" ca="1" si="345"/>
        <v>#N/A</v>
      </c>
      <c r="AE736" s="324" t="e">
        <f t="shared" ca="1" si="324"/>
        <v>#N/A</v>
      </c>
      <c r="AG736" s="306">
        <f t="shared" ca="1" si="346"/>
        <v>2.3397578820952072</v>
      </c>
      <c r="AH736" s="304">
        <f t="shared" ca="1" si="347"/>
        <v>-7.4228021452299275</v>
      </c>
    </row>
    <row r="737" spans="1:34" x14ac:dyDescent="0.2">
      <c r="A737" s="347">
        <f t="shared" ca="1" si="325"/>
        <v>1E-4</v>
      </c>
      <c r="B737" s="304">
        <f t="shared" ca="1" si="326"/>
        <v>33.621700000000928</v>
      </c>
      <c r="D737" s="306">
        <f t="shared" ca="1" si="327"/>
        <v>-0.7291109262104537</v>
      </c>
      <c r="E737" s="307">
        <f t="shared" ca="1" si="328"/>
        <v>-2.4230555735383783</v>
      </c>
      <c r="F737" s="304">
        <f t="shared" ca="1" si="329"/>
        <v>2.5303756747121295</v>
      </c>
      <c r="G737" s="306">
        <f t="shared" ca="1" si="330"/>
        <v>11.879077225376678</v>
      </c>
      <c r="H737" s="307">
        <f t="shared" ca="1" si="331"/>
        <v>-120.35315259285149</v>
      </c>
      <c r="I737" s="304">
        <f t="shared" ca="1" si="332"/>
        <v>120.93797507302931</v>
      </c>
      <c r="J737" s="306">
        <f t="shared" ca="1" si="333"/>
        <v>755.70453742140728</v>
      </c>
      <c r="K737" s="307">
        <f t="shared" ca="1" si="334"/>
        <v>-4.9914540162062107</v>
      </c>
      <c r="L737" s="304">
        <f t="shared" ca="1" si="319"/>
        <v>755.72102160287898</v>
      </c>
      <c r="M737" s="306">
        <f t="shared" ca="1" si="335"/>
        <v>-1.472413148919842</v>
      </c>
      <c r="N737" s="304">
        <f t="shared" ca="1" si="336"/>
        <v>-84.363059132674508</v>
      </c>
      <c r="P737" s="310">
        <f t="shared" ca="1" si="337"/>
        <v>23</v>
      </c>
      <c r="Q737" s="304">
        <f t="shared" ca="1" si="338"/>
        <v>0</v>
      </c>
      <c r="R737" s="306">
        <f t="shared" ca="1" si="339"/>
        <v>0</v>
      </c>
      <c r="S737" s="307">
        <f t="shared" ca="1" si="340"/>
        <v>7.9769999999999968</v>
      </c>
      <c r="T737" s="304">
        <f t="shared" ca="1" si="320"/>
        <v>78.254369999999966</v>
      </c>
      <c r="U737" s="311">
        <f t="shared" ca="1" si="321"/>
        <v>0</v>
      </c>
      <c r="V737" s="306">
        <f t="shared" ca="1" si="322"/>
        <v>1.2256116057570858</v>
      </c>
      <c r="W737" s="304">
        <f t="shared" ca="1" si="323"/>
        <v>59.212293460640225</v>
      </c>
      <c r="Y737" s="314" t="str">
        <f t="shared" ca="1" si="341"/>
        <v/>
      </c>
      <c r="Z737" s="315" t="str">
        <f t="shared" ca="1" si="342"/>
        <v/>
      </c>
      <c r="AA737" s="316" t="str">
        <f t="shared" ca="1" si="343"/>
        <v/>
      </c>
      <c r="AC737" s="310" t="e">
        <f t="shared" ca="1" si="344"/>
        <v>#N/A</v>
      </c>
      <c r="AD737" s="323" t="e">
        <f t="shared" ca="1" si="345"/>
        <v>#N/A</v>
      </c>
      <c r="AE737" s="324" t="e">
        <f t="shared" ca="1" si="324"/>
        <v>#N/A</v>
      </c>
      <c r="AG737" s="306">
        <f t="shared" ca="1" si="346"/>
        <v>2.3397209946937938</v>
      </c>
      <c r="AH737" s="304">
        <f t="shared" ca="1" si="347"/>
        <v>-7.4228398003966038</v>
      </c>
    </row>
    <row r="738" spans="1:34" x14ac:dyDescent="0.2">
      <c r="A738" s="347">
        <f t="shared" ca="1" si="325"/>
        <v>1E-4</v>
      </c>
      <c r="B738" s="304">
        <f t="shared" ca="1" si="326"/>
        <v>33.621800000000931</v>
      </c>
      <c r="D738" s="306">
        <f t="shared" ca="1" si="327"/>
        <v>-0.72910873918916907</v>
      </c>
      <c r="E738" s="307">
        <f t="shared" ca="1" si="328"/>
        <v>-2.4230175198323867</v>
      </c>
      <c r="F738" s="304">
        <f t="shared" ca="1" si="329"/>
        <v>2.5303386048070147</v>
      </c>
      <c r="G738" s="306">
        <f t="shared" ca="1" si="330"/>
        <v>11.879004314502758</v>
      </c>
      <c r="H738" s="307">
        <f t="shared" ca="1" si="331"/>
        <v>-120.35339489460347</v>
      </c>
      <c r="I738" s="304">
        <f t="shared" ca="1" si="332"/>
        <v>120.93820904147846</v>
      </c>
      <c r="J738" s="306">
        <f t="shared" ca="1" si="333"/>
        <v>755.70453742140728</v>
      </c>
      <c r="K738" s="307">
        <f t="shared" ca="1" si="334"/>
        <v>-5.0034893435805836</v>
      </c>
      <c r="L738" s="304">
        <f t="shared" ca="1" si="319"/>
        <v>755.72110119071999</v>
      </c>
      <c r="M738" s="306">
        <f t="shared" ca="1" si="335"/>
        <v>-1.4724139456761076</v>
      </c>
      <c r="N738" s="304">
        <f t="shared" ca="1" si="336"/>
        <v>-84.363104783445834</v>
      </c>
      <c r="P738" s="310">
        <f t="shared" ca="1" si="337"/>
        <v>23</v>
      </c>
      <c r="Q738" s="304">
        <f t="shared" ca="1" si="338"/>
        <v>0</v>
      </c>
      <c r="R738" s="306">
        <f t="shared" ca="1" si="339"/>
        <v>0</v>
      </c>
      <c r="S738" s="307">
        <f t="shared" ca="1" si="340"/>
        <v>7.9769999999999968</v>
      </c>
      <c r="T738" s="304">
        <f t="shared" ca="1" si="320"/>
        <v>78.254369999999966</v>
      </c>
      <c r="U738" s="311">
        <f t="shared" ca="1" si="321"/>
        <v>0</v>
      </c>
      <c r="V738" s="306">
        <f t="shared" ca="1" si="322"/>
        <v>1.2256130808217567</v>
      </c>
      <c r="W738" s="304">
        <f t="shared" ca="1" si="323"/>
        <v>59.212593831128707</v>
      </c>
      <c r="Y738" s="314" t="str">
        <f t="shared" ca="1" si="341"/>
        <v/>
      </c>
      <c r="Z738" s="315" t="str">
        <f t="shared" ca="1" si="342"/>
        <v/>
      </c>
      <c r="AA738" s="316" t="str">
        <f t="shared" ca="1" si="343"/>
        <v/>
      </c>
      <c r="AC738" s="310" t="e">
        <f t="shared" ca="1" si="344"/>
        <v>#N/A</v>
      </c>
      <c r="AD738" s="323" t="e">
        <f t="shared" ca="1" si="345"/>
        <v>#N/A</v>
      </c>
      <c r="AE738" s="324" t="e">
        <f t="shared" ca="1" si="324"/>
        <v>#N/A</v>
      </c>
      <c r="AG738" s="306">
        <f t="shared" ca="1" si="346"/>
        <v>2.3396841075778632</v>
      </c>
      <c r="AH738" s="304">
        <f t="shared" ca="1" si="347"/>
        <v>-7.4228774552639152</v>
      </c>
    </row>
    <row r="739" spans="1:34" x14ac:dyDescent="0.2">
      <c r="A739" s="347">
        <f t="shared" ca="1" si="325"/>
        <v>1E-4</v>
      </c>
      <c r="B739" s="304">
        <f t="shared" ca="1" si="326"/>
        <v>33.621900000000934</v>
      </c>
      <c r="D739" s="306">
        <f t="shared" ca="1" si="327"/>
        <v>-0.72910655213720055</v>
      </c>
      <c r="E739" s="307">
        <f t="shared" ca="1" si="328"/>
        <v>-2.4229794664289237</v>
      </c>
      <c r="F739" s="304">
        <f t="shared" ca="1" si="329"/>
        <v>2.5303015352138543</v>
      </c>
      <c r="G739" s="306">
        <f t="shared" ca="1" si="330"/>
        <v>11.878931403847545</v>
      </c>
      <c r="H739" s="307">
        <f t="shared" ca="1" si="331"/>
        <v>-120.35363719255011</v>
      </c>
      <c r="I739" s="304">
        <f t="shared" ca="1" si="332"/>
        <v>120.93844300623891</v>
      </c>
      <c r="J739" s="306">
        <f t="shared" ca="1" si="333"/>
        <v>755.70453742140728</v>
      </c>
      <c r="K739" s="307">
        <f t="shared" ca="1" si="334"/>
        <v>-5.0155246951849417</v>
      </c>
      <c r="L739" s="304">
        <f t="shared" ca="1" si="319"/>
        <v>755.72118097038356</v>
      </c>
      <c r="M739" s="306">
        <f t="shared" ca="1" si="335"/>
        <v>-1.4724147424244003</v>
      </c>
      <c r="N739" s="304">
        <f t="shared" ca="1" si="336"/>
        <v>-84.363150433760339</v>
      </c>
      <c r="P739" s="310">
        <f t="shared" ca="1" si="337"/>
        <v>23</v>
      </c>
      <c r="Q739" s="304">
        <f t="shared" ca="1" si="338"/>
        <v>0</v>
      </c>
      <c r="R739" s="306">
        <f t="shared" ca="1" si="339"/>
        <v>0</v>
      </c>
      <c r="S739" s="307">
        <f t="shared" ca="1" si="340"/>
        <v>7.9769999999999968</v>
      </c>
      <c r="T739" s="304">
        <f t="shared" ca="1" si="320"/>
        <v>78.254369999999966</v>
      </c>
      <c r="U739" s="311">
        <f t="shared" ca="1" si="321"/>
        <v>0</v>
      </c>
      <c r="V739" s="306">
        <f t="shared" ca="1" si="322"/>
        <v>1.2256145558911724</v>
      </c>
      <c r="W739" s="304">
        <f t="shared" ca="1" si="323"/>
        <v>59.212894199229083</v>
      </c>
      <c r="Y739" s="314" t="str">
        <f t="shared" ca="1" si="341"/>
        <v/>
      </c>
      <c r="Z739" s="315" t="str">
        <f t="shared" ca="1" si="342"/>
        <v/>
      </c>
      <c r="AA739" s="316" t="str">
        <f t="shared" ca="1" si="343"/>
        <v/>
      </c>
      <c r="AC739" s="310" t="e">
        <f t="shared" ca="1" si="344"/>
        <v>#N/A</v>
      </c>
      <c r="AD739" s="323" t="e">
        <f t="shared" ca="1" si="345"/>
        <v>#N/A</v>
      </c>
      <c r="AE739" s="324" t="e">
        <f t="shared" ca="1" si="324"/>
        <v>#N/A</v>
      </c>
      <c r="AG739" s="306">
        <f t="shared" ca="1" si="346"/>
        <v>2.3396472207474224</v>
      </c>
      <c r="AH739" s="304">
        <f t="shared" ca="1" si="347"/>
        <v>-7.422915109831858</v>
      </c>
    </row>
    <row r="740" spans="1:34" x14ac:dyDescent="0.2">
      <c r="A740" s="347">
        <f t="shared" ca="1" si="325"/>
        <v>1E-4</v>
      </c>
      <c r="B740" s="304">
        <f t="shared" ca="1" si="326"/>
        <v>33.622000000000938</v>
      </c>
      <c r="D740" s="306">
        <f t="shared" ca="1" si="327"/>
        <v>-0.72910436505454768</v>
      </c>
      <c r="E740" s="307">
        <f t="shared" ca="1" si="328"/>
        <v>-2.4229414133279974</v>
      </c>
      <c r="F740" s="304">
        <f t="shared" ca="1" si="329"/>
        <v>2.5302644659326559</v>
      </c>
      <c r="G740" s="306">
        <f t="shared" ca="1" si="330"/>
        <v>11.878858493411039</v>
      </c>
      <c r="H740" s="307">
        <f t="shared" ca="1" si="331"/>
        <v>-120.35387948669144</v>
      </c>
      <c r="I740" s="304">
        <f t="shared" ca="1" si="332"/>
        <v>120.93867696731071</v>
      </c>
      <c r="J740" s="306">
        <f t="shared" ca="1" si="333"/>
        <v>755.70453742140728</v>
      </c>
      <c r="K740" s="307">
        <f t="shared" ca="1" si="334"/>
        <v>-5.0275600710189039</v>
      </c>
      <c r="L740" s="304">
        <f t="shared" ca="1" si="319"/>
        <v>755.72126094187058</v>
      </c>
      <c r="M740" s="306">
        <f t="shared" ca="1" si="335"/>
        <v>-1.4724155391647198</v>
      </c>
      <c r="N740" s="304">
        <f t="shared" ca="1" si="336"/>
        <v>-84.363196083618021</v>
      </c>
      <c r="P740" s="310">
        <f t="shared" ca="1" si="337"/>
        <v>23</v>
      </c>
      <c r="Q740" s="304">
        <f t="shared" ca="1" si="338"/>
        <v>0</v>
      </c>
      <c r="R740" s="306">
        <f t="shared" ca="1" si="339"/>
        <v>0</v>
      </c>
      <c r="S740" s="307">
        <f t="shared" ca="1" si="340"/>
        <v>7.9769999999999968</v>
      </c>
      <c r="T740" s="304">
        <f t="shared" ca="1" si="320"/>
        <v>78.254369999999966</v>
      </c>
      <c r="U740" s="311">
        <f t="shared" ca="1" si="321"/>
        <v>0</v>
      </c>
      <c r="V740" s="306">
        <f t="shared" ca="1" si="322"/>
        <v>1.2256160309653341</v>
      </c>
      <c r="W740" s="304">
        <f t="shared" ca="1" si="323"/>
        <v>59.213194564941375</v>
      </c>
      <c r="Y740" s="314" t="str">
        <f t="shared" ca="1" si="341"/>
        <v/>
      </c>
      <c r="Z740" s="315" t="str">
        <f t="shared" ca="1" si="342"/>
        <v/>
      </c>
      <c r="AA740" s="316" t="str">
        <f t="shared" ca="1" si="343"/>
        <v/>
      </c>
      <c r="AC740" s="310" t="e">
        <f t="shared" ca="1" si="344"/>
        <v>#N/A</v>
      </c>
      <c r="AD740" s="323" t="e">
        <f t="shared" ca="1" si="345"/>
        <v>#N/A</v>
      </c>
      <c r="AE740" s="324" t="e">
        <f t="shared" ca="1" si="324"/>
        <v>#N/A</v>
      </c>
      <c r="AG740" s="306">
        <f t="shared" ca="1" si="346"/>
        <v>2.339610334202475</v>
      </c>
      <c r="AH740" s="304">
        <f t="shared" ca="1" si="347"/>
        <v>-7.4229527641004269</v>
      </c>
    </row>
    <row r="741" spans="1:34" x14ac:dyDescent="0.2">
      <c r="A741" s="347">
        <f t="shared" ca="1" si="325"/>
        <v>1E-4</v>
      </c>
      <c r="B741" s="304">
        <f t="shared" ca="1" si="326"/>
        <v>33.622100000000941</v>
      </c>
      <c r="D741" s="306">
        <f t="shared" ca="1" si="327"/>
        <v>-0.7291021779412139</v>
      </c>
      <c r="E741" s="307">
        <f t="shared" ca="1" si="328"/>
        <v>-2.4229033605296024</v>
      </c>
      <c r="F741" s="304">
        <f t="shared" ca="1" si="329"/>
        <v>2.5302273969634159</v>
      </c>
      <c r="G741" s="306">
        <f t="shared" ca="1" si="330"/>
        <v>11.878785583193245</v>
      </c>
      <c r="H741" s="307">
        <f t="shared" ca="1" si="331"/>
        <v>-120.35412177702749</v>
      </c>
      <c r="I741" s="304">
        <f t="shared" ca="1" si="332"/>
        <v>120.93891092469389</v>
      </c>
      <c r="J741" s="306">
        <f t="shared" ca="1" si="333"/>
        <v>755.70453742140728</v>
      </c>
      <c r="K741" s="307">
        <f t="shared" ca="1" si="334"/>
        <v>-5.0395954710820901</v>
      </c>
      <c r="L741" s="304">
        <f t="shared" ca="1" si="319"/>
        <v>755.72134110518232</v>
      </c>
      <c r="M741" s="306">
        <f t="shared" ca="1" si="335"/>
        <v>-1.4724163358970666</v>
      </c>
      <c r="N741" s="304">
        <f t="shared" ca="1" si="336"/>
        <v>-84.363241733018882</v>
      </c>
      <c r="P741" s="310">
        <f t="shared" ca="1" si="337"/>
        <v>23</v>
      </c>
      <c r="Q741" s="304">
        <f t="shared" ca="1" si="338"/>
        <v>0</v>
      </c>
      <c r="R741" s="306">
        <f t="shared" ca="1" si="339"/>
        <v>0</v>
      </c>
      <c r="S741" s="307">
        <f t="shared" ca="1" si="340"/>
        <v>7.9769999999999968</v>
      </c>
      <c r="T741" s="304">
        <f t="shared" ca="1" si="320"/>
        <v>78.254369999999966</v>
      </c>
      <c r="U741" s="311">
        <f t="shared" ca="1" si="321"/>
        <v>0</v>
      </c>
      <c r="V741" s="306">
        <f t="shared" ca="1" si="322"/>
        <v>1.2256175060442411</v>
      </c>
      <c r="W741" s="304">
        <f t="shared" ca="1" si="323"/>
        <v>59.213494928265611</v>
      </c>
      <c r="Y741" s="314" t="str">
        <f t="shared" ca="1" si="341"/>
        <v/>
      </c>
      <c r="Z741" s="315" t="str">
        <f t="shared" ca="1" si="342"/>
        <v/>
      </c>
      <c r="AA741" s="316" t="str">
        <f t="shared" ca="1" si="343"/>
        <v/>
      </c>
      <c r="AC741" s="310" t="e">
        <f t="shared" ca="1" si="344"/>
        <v>#N/A</v>
      </c>
      <c r="AD741" s="323" t="e">
        <f t="shared" ca="1" si="345"/>
        <v>#N/A</v>
      </c>
      <c r="AE741" s="324" t="e">
        <f t="shared" ca="1" si="324"/>
        <v>#N/A</v>
      </c>
      <c r="AG741" s="306">
        <f t="shared" ca="1" si="346"/>
        <v>2.3395734479430184</v>
      </c>
      <c r="AH741" s="304">
        <f t="shared" ca="1" si="347"/>
        <v>-7.4229904180696247</v>
      </c>
    </row>
    <row r="742" spans="1:34" x14ac:dyDescent="0.2">
      <c r="A742" s="347">
        <f t="shared" ca="1" si="325"/>
        <v>1E-4</v>
      </c>
      <c r="B742" s="304">
        <f t="shared" ca="1" si="326"/>
        <v>33.622200000000944</v>
      </c>
      <c r="D742" s="306">
        <f t="shared" ca="1" si="327"/>
        <v>-0.72909999079719801</v>
      </c>
      <c r="E742" s="307">
        <f t="shared" ca="1" si="328"/>
        <v>-2.422865308033737</v>
      </c>
      <c r="F742" s="304">
        <f t="shared" ca="1" si="329"/>
        <v>2.5301903283061318</v>
      </c>
      <c r="G742" s="306">
        <f t="shared" ca="1" si="330"/>
        <v>11.878712673194165</v>
      </c>
      <c r="H742" s="307">
        <f t="shared" ca="1" si="331"/>
        <v>-120.35436406355829</v>
      </c>
      <c r="I742" s="304">
        <f t="shared" ca="1" si="332"/>
        <v>120.93914487838846</v>
      </c>
      <c r="J742" s="306">
        <f t="shared" ca="1" si="333"/>
        <v>755.70453742140728</v>
      </c>
      <c r="K742" s="307">
        <f t="shared" ca="1" si="334"/>
        <v>-5.0516308953741191</v>
      </c>
      <c r="L742" s="304">
        <f t="shared" ca="1" si="319"/>
        <v>755.72142146031979</v>
      </c>
      <c r="M742" s="306">
        <f t="shared" ca="1" si="335"/>
        <v>-1.4724171326214408</v>
      </c>
      <c r="N742" s="304">
        <f t="shared" ca="1" si="336"/>
        <v>-84.363287381962962</v>
      </c>
      <c r="P742" s="310">
        <f t="shared" ca="1" si="337"/>
        <v>23</v>
      </c>
      <c r="Q742" s="304">
        <f t="shared" ca="1" si="338"/>
        <v>0</v>
      </c>
      <c r="R742" s="306">
        <f t="shared" ca="1" si="339"/>
        <v>0</v>
      </c>
      <c r="S742" s="307">
        <f t="shared" ca="1" si="340"/>
        <v>7.9769999999999968</v>
      </c>
      <c r="T742" s="304">
        <f t="shared" ca="1" si="320"/>
        <v>78.254369999999966</v>
      </c>
      <c r="U742" s="311">
        <f t="shared" ca="1" si="321"/>
        <v>0</v>
      </c>
      <c r="V742" s="306">
        <f t="shared" ca="1" si="322"/>
        <v>1.2256189811278928</v>
      </c>
      <c r="W742" s="304">
        <f t="shared" ca="1" si="323"/>
        <v>59.21379528920172</v>
      </c>
      <c r="Y742" s="314" t="str">
        <f t="shared" ca="1" si="341"/>
        <v/>
      </c>
      <c r="Z742" s="315" t="str">
        <f t="shared" ca="1" si="342"/>
        <v/>
      </c>
      <c r="AA742" s="316" t="str">
        <f t="shared" ca="1" si="343"/>
        <v/>
      </c>
      <c r="AC742" s="310" t="e">
        <f t="shared" ca="1" si="344"/>
        <v>#N/A</v>
      </c>
      <c r="AD742" s="323" t="e">
        <f t="shared" ca="1" si="345"/>
        <v>#N/A</v>
      </c>
      <c r="AE742" s="324" t="e">
        <f t="shared" ca="1" si="324"/>
        <v>#N/A</v>
      </c>
      <c r="AG742" s="306">
        <f t="shared" ca="1" si="346"/>
        <v>2.339536561969048</v>
      </c>
      <c r="AH742" s="304">
        <f t="shared" ca="1" si="347"/>
        <v>-7.4230280717394557</v>
      </c>
    </row>
    <row r="743" spans="1:34" x14ac:dyDescent="0.2">
      <c r="A743" s="347">
        <f t="shared" ca="1" si="325"/>
        <v>1E-4</v>
      </c>
      <c r="B743" s="304">
        <f t="shared" ca="1" si="326"/>
        <v>33.622300000000948</v>
      </c>
      <c r="D743" s="306">
        <f t="shared" ca="1" si="327"/>
        <v>-0.72909780362249899</v>
      </c>
      <c r="E743" s="307">
        <f t="shared" ca="1" si="328"/>
        <v>-2.4228272558404091</v>
      </c>
      <c r="F743" s="304">
        <f t="shared" ca="1" si="329"/>
        <v>2.530153259960811</v>
      </c>
      <c r="G743" s="306">
        <f t="shared" ca="1" si="330"/>
        <v>11.878639763413803</v>
      </c>
      <c r="H743" s="307">
        <f t="shared" ca="1" si="331"/>
        <v>-120.35460634628387</v>
      </c>
      <c r="I743" s="304">
        <f t="shared" ca="1" si="332"/>
        <v>120.93937882839447</v>
      </c>
      <c r="J743" s="306">
        <f t="shared" ca="1" si="333"/>
        <v>755.70453742140728</v>
      </c>
      <c r="K743" s="307">
        <f t="shared" ca="1" si="334"/>
        <v>-5.063666343894611</v>
      </c>
      <c r="L743" s="304">
        <f t="shared" ca="1" si="319"/>
        <v>755.72150200728402</v>
      </c>
      <c r="M743" s="306">
        <f t="shared" ca="1" si="335"/>
        <v>-1.4724179293378421</v>
      </c>
      <c r="N743" s="304">
        <f t="shared" ca="1" si="336"/>
        <v>-84.363333030450235</v>
      </c>
      <c r="P743" s="310">
        <f t="shared" ca="1" si="337"/>
        <v>23</v>
      </c>
      <c r="Q743" s="304">
        <f t="shared" ca="1" si="338"/>
        <v>0</v>
      </c>
      <c r="R743" s="306">
        <f t="shared" ca="1" si="339"/>
        <v>0</v>
      </c>
      <c r="S743" s="307">
        <f t="shared" ca="1" si="340"/>
        <v>7.9769999999999968</v>
      </c>
      <c r="T743" s="304">
        <f t="shared" ca="1" si="320"/>
        <v>78.254369999999966</v>
      </c>
      <c r="U743" s="311">
        <f t="shared" ca="1" si="321"/>
        <v>0</v>
      </c>
      <c r="V743" s="306">
        <f t="shared" ca="1" si="322"/>
        <v>1.2256204562162905</v>
      </c>
      <c r="W743" s="304">
        <f t="shared" ca="1" si="323"/>
        <v>59.21409564774978</v>
      </c>
      <c r="Y743" s="314" t="str">
        <f t="shared" ca="1" si="341"/>
        <v/>
      </c>
      <c r="Z743" s="315" t="str">
        <f t="shared" ca="1" si="342"/>
        <v/>
      </c>
      <c r="AA743" s="316" t="str">
        <f t="shared" ca="1" si="343"/>
        <v/>
      </c>
      <c r="AC743" s="310" t="e">
        <f t="shared" ca="1" si="344"/>
        <v>#N/A</v>
      </c>
      <c r="AD743" s="323" t="e">
        <f t="shared" ca="1" si="345"/>
        <v>#N/A</v>
      </c>
      <c r="AE743" s="324" t="e">
        <f t="shared" ca="1" si="324"/>
        <v>#N/A</v>
      </c>
      <c r="AG743" s="306">
        <f t="shared" ca="1" si="346"/>
        <v>2.3394996762805782</v>
      </c>
      <c r="AH743" s="304">
        <f t="shared" ca="1" si="347"/>
        <v>-7.4230657251099093</v>
      </c>
    </row>
    <row r="744" spans="1:34" x14ac:dyDescent="0.2">
      <c r="A744" s="347">
        <f t="shared" ca="1" si="325"/>
        <v>1E-4</v>
      </c>
      <c r="B744" s="304">
        <f t="shared" ca="1" si="326"/>
        <v>33.622400000000951</v>
      </c>
      <c r="D744" s="306">
        <f t="shared" ca="1" si="327"/>
        <v>-0.72909561641712262</v>
      </c>
      <c r="E744" s="307">
        <f t="shared" ca="1" si="328"/>
        <v>-2.4227892039496099</v>
      </c>
      <c r="F744" s="304">
        <f t="shared" ca="1" si="329"/>
        <v>2.5301161919274477</v>
      </c>
      <c r="G744" s="306">
        <f t="shared" ca="1" si="330"/>
        <v>11.878566853852162</v>
      </c>
      <c r="H744" s="307">
        <f t="shared" ca="1" si="331"/>
        <v>-120.35484862520427</v>
      </c>
      <c r="I744" s="304">
        <f t="shared" ca="1" si="332"/>
        <v>120.93961277471195</v>
      </c>
      <c r="J744" s="306">
        <f t="shared" ca="1" si="333"/>
        <v>755.70453742140728</v>
      </c>
      <c r="K744" s="307">
        <f t="shared" ca="1" si="334"/>
        <v>-5.0757018166431855</v>
      </c>
      <c r="L744" s="304">
        <f t="shared" ca="1" si="319"/>
        <v>755.72158274607625</v>
      </c>
      <c r="M744" s="306">
        <f t="shared" ca="1" si="335"/>
        <v>-1.4724187260462711</v>
      </c>
      <c r="N744" s="304">
        <f t="shared" ca="1" si="336"/>
        <v>-84.363378678480714</v>
      </c>
      <c r="P744" s="310">
        <f t="shared" ca="1" si="337"/>
        <v>23</v>
      </c>
      <c r="Q744" s="304">
        <f t="shared" ca="1" si="338"/>
        <v>0</v>
      </c>
      <c r="R744" s="306">
        <f t="shared" ca="1" si="339"/>
        <v>0</v>
      </c>
      <c r="S744" s="307">
        <f t="shared" ca="1" si="340"/>
        <v>7.9769999999999968</v>
      </c>
      <c r="T744" s="304">
        <f t="shared" ca="1" si="320"/>
        <v>78.254369999999966</v>
      </c>
      <c r="U744" s="311">
        <f t="shared" ca="1" si="321"/>
        <v>0</v>
      </c>
      <c r="V744" s="306">
        <f t="shared" ca="1" si="322"/>
        <v>1.2256219313094328</v>
      </c>
      <c r="W744" s="304">
        <f t="shared" ca="1" si="323"/>
        <v>59.214396003909734</v>
      </c>
      <c r="Y744" s="314" t="str">
        <f t="shared" ca="1" si="341"/>
        <v/>
      </c>
      <c r="Z744" s="315" t="str">
        <f t="shared" ca="1" si="342"/>
        <v/>
      </c>
      <c r="AA744" s="316" t="str">
        <f t="shared" ca="1" si="343"/>
        <v/>
      </c>
      <c r="AC744" s="310" t="e">
        <f t="shared" ca="1" si="344"/>
        <v>#N/A</v>
      </c>
      <c r="AD744" s="323" t="e">
        <f t="shared" ca="1" si="345"/>
        <v>#N/A</v>
      </c>
      <c r="AE744" s="324" t="e">
        <f t="shared" ca="1" si="324"/>
        <v>#N/A</v>
      </c>
      <c r="AG744" s="306">
        <f t="shared" ca="1" si="346"/>
        <v>2.3394627908775947</v>
      </c>
      <c r="AH744" s="304">
        <f t="shared" ca="1" si="347"/>
        <v>-7.4231033781809961</v>
      </c>
    </row>
    <row r="745" spans="1:34" x14ac:dyDescent="0.2">
      <c r="A745" s="347">
        <f t="shared" ca="1" si="325"/>
        <v>1E-4</v>
      </c>
      <c r="B745" s="304">
        <f t="shared" ca="1" si="326"/>
        <v>33.622500000000954</v>
      </c>
      <c r="D745" s="306">
        <f t="shared" ca="1" si="327"/>
        <v>-0.72909342918106501</v>
      </c>
      <c r="E745" s="307">
        <f t="shared" ca="1" si="328"/>
        <v>-2.4227511523613448</v>
      </c>
      <c r="F745" s="304">
        <f t="shared" ca="1" si="329"/>
        <v>2.5300791242060452</v>
      </c>
      <c r="G745" s="306">
        <f t="shared" ca="1" si="330"/>
        <v>11.878493944509243</v>
      </c>
      <c r="H745" s="307">
        <f t="shared" ca="1" si="331"/>
        <v>-120.35509090031951</v>
      </c>
      <c r="I745" s="304">
        <f t="shared" ca="1" si="332"/>
        <v>120.93984671734091</v>
      </c>
      <c r="J745" s="306">
        <f t="shared" ca="1" si="333"/>
        <v>755.70453742140728</v>
      </c>
      <c r="K745" s="307">
        <f t="shared" ca="1" si="334"/>
        <v>-5.0877373136194617</v>
      </c>
      <c r="L745" s="304">
        <f t="shared" ca="1" si="319"/>
        <v>755.72166367669752</v>
      </c>
      <c r="M745" s="306">
        <f t="shared" ca="1" si="335"/>
        <v>-1.4724195227467278</v>
      </c>
      <c r="N745" s="304">
        <f t="shared" ca="1" si="336"/>
        <v>-84.363424326054414</v>
      </c>
      <c r="P745" s="310">
        <f t="shared" ca="1" si="337"/>
        <v>23</v>
      </c>
      <c r="Q745" s="304">
        <f t="shared" ca="1" si="338"/>
        <v>0</v>
      </c>
      <c r="R745" s="306">
        <f t="shared" ca="1" si="339"/>
        <v>0</v>
      </c>
      <c r="S745" s="307">
        <f t="shared" ca="1" si="340"/>
        <v>7.9769999999999968</v>
      </c>
      <c r="T745" s="304">
        <f t="shared" ca="1" si="320"/>
        <v>78.254369999999966</v>
      </c>
      <c r="U745" s="311">
        <f t="shared" ca="1" si="321"/>
        <v>0</v>
      </c>
      <c r="V745" s="306">
        <f t="shared" ca="1" si="322"/>
        <v>1.2256234064073208</v>
      </c>
      <c r="W745" s="304">
        <f t="shared" ca="1" si="323"/>
        <v>59.214696357681611</v>
      </c>
      <c r="Y745" s="314" t="str">
        <f t="shared" ca="1" si="341"/>
        <v/>
      </c>
      <c r="Z745" s="315" t="str">
        <f t="shared" ca="1" si="342"/>
        <v/>
      </c>
      <c r="AA745" s="316" t="str">
        <f t="shared" ca="1" si="343"/>
        <v/>
      </c>
      <c r="AC745" s="310" t="e">
        <f t="shared" ca="1" si="344"/>
        <v>#N/A</v>
      </c>
      <c r="AD745" s="323" t="e">
        <f t="shared" ca="1" si="345"/>
        <v>#N/A</v>
      </c>
      <c r="AE745" s="324" t="e">
        <f t="shared" ca="1" si="324"/>
        <v>#N/A</v>
      </c>
      <c r="AG745" s="306">
        <f t="shared" ca="1" si="346"/>
        <v>2.3394259057601063</v>
      </c>
      <c r="AH745" s="304">
        <f t="shared" ca="1" si="347"/>
        <v>-7.4231410309527091</v>
      </c>
    </row>
    <row r="746" spans="1:34" x14ac:dyDescent="0.2">
      <c r="A746" s="347">
        <f t="shared" ca="1" si="325"/>
        <v>1E-4</v>
      </c>
      <c r="B746" s="304">
        <f t="shared" ca="1" si="326"/>
        <v>33.622600000000958</v>
      </c>
      <c r="D746" s="306">
        <f t="shared" ca="1" si="327"/>
        <v>-0.72909124191432817</v>
      </c>
      <c r="E746" s="307">
        <f t="shared" ca="1" si="328"/>
        <v>-2.4227131010756118</v>
      </c>
      <c r="F746" s="304">
        <f t="shared" ca="1" si="329"/>
        <v>2.5300420567966029</v>
      </c>
      <c r="G746" s="306">
        <f t="shared" ca="1" si="330"/>
        <v>11.878421035385051</v>
      </c>
      <c r="H746" s="307">
        <f t="shared" ca="1" si="331"/>
        <v>-120.35533317162962</v>
      </c>
      <c r="I746" s="304">
        <f t="shared" ca="1" si="332"/>
        <v>120.9400806562814</v>
      </c>
      <c r="J746" s="306">
        <f t="shared" ca="1" si="333"/>
        <v>755.70453742140728</v>
      </c>
      <c r="K746" s="307">
        <f t="shared" ca="1" si="334"/>
        <v>-5.0997728348230593</v>
      </c>
      <c r="L746" s="304">
        <f t="shared" ca="1" si="319"/>
        <v>755.72174479914884</v>
      </c>
      <c r="M746" s="306">
        <f t="shared" ca="1" si="335"/>
        <v>-1.4724203194392123</v>
      </c>
      <c r="N746" s="304">
        <f t="shared" ca="1" si="336"/>
        <v>-84.363469973171348</v>
      </c>
      <c r="P746" s="310">
        <f t="shared" ca="1" si="337"/>
        <v>23</v>
      </c>
      <c r="Q746" s="304">
        <f t="shared" ca="1" si="338"/>
        <v>0</v>
      </c>
      <c r="R746" s="306">
        <f t="shared" ca="1" si="339"/>
        <v>0</v>
      </c>
      <c r="S746" s="307">
        <f t="shared" ca="1" si="340"/>
        <v>7.9769999999999968</v>
      </c>
      <c r="T746" s="304">
        <f t="shared" ca="1" si="320"/>
        <v>78.254369999999966</v>
      </c>
      <c r="U746" s="311">
        <f t="shared" ca="1" si="321"/>
        <v>0</v>
      </c>
      <c r="V746" s="306">
        <f t="shared" ca="1" si="322"/>
        <v>1.2256248815099533</v>
      </c>
      <c r="W746" s="304">
        <f t="shared" ca="1" si="323"/>
        <v>59.214996709065353</v>
      </c>
      <c r="Y746" s="314" t="str">
        <f t="shared" ca="1" si="341"/>
        <v/>
      </c>
      <c r="Z746" s="315" t="str">
        <f t="shared" ca="1" si="342"/>
        <v/>
      </c>
      <c r="AA746" s="316" t="str">
        <f t="shared" ca="1" si="343"/>
        <v/>
      </c>
      <c r="AC746" s="310" t="e">
        <f t="shared" ca="1" si="344"/>
        <v>#N/A</v>
      </c>
      <c r="AD746" s="323" t="e">
        <f t="shared" ca="1" si="345"/>
        <v>#N/A</v>
      </c>
      <c r="AE746" s="324" t="e">
        <f t="shared" ca="1" si="324"/>
        <v>#N/A</v>
      </c>
      <c r="AG746" s="306">
        <f t="shared" ca="1" si="346"/>
        <v>2.3393890209281132</v>
      </c>
      <c r="AH746" s="304">
        <f t="shared" ca="1" si="347"/>
        <v>-7.4231786834250517</v>
      </c>
    </row>
    <row r="747" spans="1:34" x14ac:dyDescent="0.2">
      <c r="A747" s="347">
        <f t="shared" ca="1" si="325"/>
        <v>1E-4</v>
      </c>
      <c r="B747" s="304">
        <f t="shared" ca="1" si="326"/>
        <v>33.622700000000961</v>
      </c>
      <c r="D747" s="306">
        <f t="shared" ca="1" si="327"/>
        <v>-0.72908905461691276</v>
      </c>
      <c r="E747" s="307">
        <f t="shared" ca="1" si="328"/>
        <v>-2.422675050092419</v>
      </c>
      <c r="F747" s="304">
        <f t="shared" ca="1" si="329"/>
        <v>2.5300049896991288</v>
      </c>
      <c r="G747" s="306">
        <f t="shared" ca="1" si="330"/>
        <v>11.878348126479588</v>
      </c>
      <c r="H747" s="307">
        <f t="shared" ca="1" si="331"/>
        <v>-120.35557543913464</v>
      </c>
      <c r="I747" s="304">
        <f t="shared" ca="1" si="332"/>
        <v>120.94031459153341</v>
      </c>
      <c r="J747" s="306">
        <f t="shared" ca="1" si="333"/>
        <v>755.70453742140728</v>
      </c>
      <c r="K747" s="307">
        <f t="shared" ca="1" si="334"/>
        <v>-5.1118083802535974</v>
      </c>
      <c r="L747" s="304">
        <f t="shared" ca="1" si="319"/>
        <v>755.72182611343146</v>
      </c>
      <c r="M747" s="306">
        <f t="shared" ca="1" si="335"/>
        <v>-1.4724211161237246</v>
      </c>
      <c r="N747" s="304">
        <f t="shared" ca="1" si="336"/>
        <v>-84.363515619831503</v>
      </c>
      <c r="P747" s="310">
        <f t="shared" ca="1" si="337"/>
        <v>23</v>
      </c>
      <c r="Q747" s="304">
        <f t="shared" ca="1" si="338"/>
        <v>0</v>
      </c>
      <c r="R747" s="306">
        <f t="shared" ca="1" si="339"/>
        <v>0</v>
      </c>
      <c r="S747" s="307">
        <f t="shared" ca="1" si="340"/>
        <v>7.9769999999999968</v>
      </c>
      <c r="T747" s="304">
        <f t="shared" ca="1" si="320"/>
        <v>78.254369999999966</v>
      </c>
      <c r="U747" s="311">
        <f t="shared" ca="1" si="321"/>
        <v>0</v>
      </c>
      <c r="V747" s="306">
        <f t="shared" ca="1" si="322"/>
        <v>1.2256263566173315</v>
      </c>
      <c r="W747" s="304">
        <f t="shared" ca="1" si="323"/>
        <v>59.215297058061005</v>
      </c>
      <c r="Y747" s="314" t="str">
        <f t="shared" ca="1" si="341"/>
        <v/>
      </c>
      <c r="Z747" s="315" t="str">
        <f t="shared" ca="1" si="342"/>
        <v/>
      </c>
      <c r="AA747" s="316" t="str">
        <f t="shared" ca="1" si="343"/>
        <v/>
      </c>
      <c r="AC747" s="310" t="e">
        <f t="shared" ca="1" si="344"/>
        <v>#N/A</v>
      </c>
      <c r="AD747" s="323" t="e">
        <f t="shared" ca="1" si="345"/>
        <v>#N/A</v>
      </c>
      <c r="AE747" s="324" t="e">
        <f t="shared" ca="1" si="324"/>
        <v>#N/A</v>
      </c>
      <c r="AG747" s="306">
        <f t="shared" ca="1" si="346"/>
        <v>2.3393521363816161</v>
      </c>
      <c r="AH747" s="304">
        <f t="shared" ca="1" si="347"/>
        <v>-7.4232163355980161</v>
      </c>
    </row>
    <row r="748" spans="1:34" x14ac:dyDescent="0.2">
      <c r="A748" s="347">
        <f t="shared" ca="1" si="325"/>
        <v>1E-4</v>
      </c>
      <c r="B748" s="304">
        <f t="shared" ca="1" si="326"/>
        <v>33.622800000000964</v>
      </c>
      <c r="D748" s="306">
        <f t="shared" ca="1" si="327"/>
        <v>-0.72908686728881977</v>
      </c>
      <c r="E748" s="307">
        <f t="shared" ca="1" si="328"/>
        <v>-2.4226369994117576</v>
      </c>
      <c r="F748" s="304">
        <f t="shared" ca="1" si="329"/>
        <v>2.5299679229136145</v>
      </c>
      <c r="G748" s="306">
        <f t="shared" ca="1" si="330"/>
        <v>11.87827521779286</v>
      </c>
      <c r="H748" s="307">
        <f t="shared" ca="1" si="331"/>
        <v>-120.35581770283459</v>
      </c>
      <c r="I748" s="304">
        <f t="shared" ca="1" si="332"/>
        <v>120.94054852309701</v>
      </c>
      <c r="J748" s="306">
        <f t="shared" ca="1" si="333"/>
        <v>755.70453742140728</v>
      </c>
      <c r="K748" s="307">
        <f t="shared" ca="1" si="334"/>
        <v>-5.1238439499106958</v>
      </c>
      <c r="L748" s="304">
        <f t="shared" ca="1" si="319"/>
        <v>755.72190761954641</v>
      </c>
      <c r="M748" s="306">
        <f t="shared" ca="1" si="335"/>
        <v>-1.4724219128002647</v>
      </c>
      <c r="N748" s="304">
        <f t="shared" ca="1" si="336"/>
        <v>-84.363561266034893</v>
      </c>
      <c r="P748" s="310">
        <f t="shared" ca="1" si="337"/>
        <v>23</v>
      </c>
      <c r="Q748" s="304">
        <f t="shared" ca="1" si="338"/>
        <v>0</v>
      </c>
      <c r="R748" s="306">
        <f t="shared" ca="1" si="339"/>
        <v>0</v>
      </c>
      <c r="S748" s="307">
        <f t="shared" ca="1" si="340"/>
        <v>7.9769999999999968</v>
      </c>
      <c r="T748" s="304">
        <f t="shared" ca="1" si="320"/>
        <v>78.254369999999966</v>
      </c>
      <c r="U748" s="311">
        <f t="shared" ca="1" si="321"/>
        <v>0</v>
      </c>
      <c r="V748" s="306">
        <f t="shared" ca="1" si="322"/>
        <v>1.2256278317294547</v>
      </c>
      <c r="W748" s="304">
        <f t="shared" ca="1" si="323"/>
        <v>59.215597404668571</v>
      </c>
      <c r="Y748" s="314" t="str">
        <f t="shared" ca="1" si="341"/>
        <v/>
      </c>
      <c r="Z748" s="315" t="str">
        <f t="shared" ca="1" si="342"/>
        <v/>
      </c>
      <c r="AA748" s="316" t="str">
        <f t="shared" ca="1" si="343"/>
        <v/>
      </c>
      <c r="AC748" s="310" t="e">
        <f t="shared" ca="1" si="344"/>
        <v>#N/A</v>
      </c>
      <c r="AD748" s="323" t="e">
        <f t="shared" ca="1" si="345"/>
        <v>#N/A</v>
      </c>
      <c r="AE748" s="324" t="e">
        <f t="shared" ca="1" si="324"/>
        <v>#N/A</v>
      </c>
      <c r="AG748" s="306">
        <f t="shared" ca="1" si="346"/>
        <v>2.3393152521206151</v>
      </c>
      <c r="AH748" s="304">
        <f t="shared" ca="1" si="347"/>
        <v>-7.4232539874716092</v>
      </c>
    </row>
    <row r="749" spans="1:34" x14ac:dyDescent="0.2">
      <c r="A749" s="347">
        <f t="shared" ca="1" si="325"/>
        <v>1E-4</v>
      </c>
      <c r="B749" s="304">
        <f t="shared" ca="1" si="326"/>
        <v>33.622900000000968</v>
      </c>
      <c r="D749" s="306">
        <f t="shared" ca="1" si="327"/>
        <v>-0.7290846799300521</v>
      </c>
      <c r="E749" s="307">
        <f t="shared" ca="1" si="328"/>
        <v>-2.4225989490336302</v>
      </c>
      <c r="F749" s="304">
        <f t="shared" ca="1" si="329"/>
        <v>2.529930856440064</v>
      </c>
      <c r="G749" s="306">
        <f t="shared" ca="1" si="330"/>
        <v>11.878202309324866</v>
      </c>
      <c r="H749" s="307">
        <f t="shared" ca="1" si="331"/>
        <v>-120.35605996272949</v>
      </c>
      <c r="I749" s="304">
        <f t="shared" ca="1" si="332"/>
        <v>120.94078245097221</v>
      </c>
      <c r="J749" s="306">
        <f t="shared" ca="1" si="333"/>
        <v>755.70453742140728</v>
      </c>
      <c r="K749" s="307">
        <f t="shared" ca="1" si="334"/>
        <v>-5.1358795437939744</v>
      </c>
      <c r="L749" s="304">
        <f t="shared" ca="1" si="319"/>
        <v>755.7219893174946</v>
      </c>
      <c r="M749" s="306">
        <f t="shared" ca="1" si="335"/>
        <v>-1.4724227094688331</v>
      </c>
      <c r="N749" s="304">
        <f t="shared" ca="1" si="336"/>
        <v>-84.363606911781531</v>
      </c>
      <c r="P749" s="310">
        <f t="shared" ca="1" si="337"/>
        <v>23</v>
      </c>
      <c r="Q749" s="304">
        <f t="shared" ca="1" si="338"/>
        <v>0</v>
      </c>
      <c r="R749" s="306">
        <f t="shared" ca="1" si="339"/>
        <v>0</v>
      </c>
      <c r="S749" s="307">
        <f t="shared" ca="1" si="340"/>
        <v>7.9769999999999968</v>
      </c>
      <c r="T749" s="304">
        <f t="shared" ca="1" si="320"/>
        <v>78.254369999999966</v>
      </c>
      <c r="U749" s="311">
        <f t="shared" ca="1" si="321"/>
        <v>0</v>
      </c>
      <c r="V749" s="306">
        <f t="shared" ca="1" si="322"/>
        <v>1.2256293068463229</v>
      </c>
      <c r="W749" s="304">
        <f t="shared" ca="1" si="323"/>
        <v>59.215897748887997</v>
      </c>
      <c r="Y749" s="314" t="str">
        <f t="shared" ca="1" si="341"/>
        <v/>
      </c>
      <c r="Z749" s="315" t="str">
        <f t="shared" ca="1" si="342"/>
        <v/>
      </c>
      <c r="AA749" s="316" t="str">
        <f t="shared" ca="1" si="343"/>
        <v/>
      </c>
      <c r="AC749" s="310" t="e">
        <f t="shared" ca="1" si="344"/>
        <v>#N/A</v>
      </c>
      <c r="AD749" s="323" t="e">
        <f t="shared" ca="1" si="345"/>
        <v>#N/A</v>
      </c>
      <c r="AE749" s="324" t="e">
        <f t="shared" ca="1" si="324"/>
        <v>#N/A</v>
      </c>
      <c r="AG749" s="306">
        <f t="shared" ca="1" si="346"/>
        <v>2.3392783681451066</v>
      </c>
      <c r="AH749" s="304">
        <f t="shared" ca="1" si="347"/>
        <v>-7.4232916390458312</v>
      </c>
    </row>
    <row r="750" spans="1:34" x14ac:dyDescent="0.2">
      <c r="A750" s="347">
        <f t="shared" ca="1" si="325"/>
        <v>1E-4</v>
      </c>
      <c r="B750" s="304">
        <f t="shared" ca="1" si="326"/>
        <v>33.623000000000971</v>
      </c>
      <c r="D750" s="306">
        <f t="shared" ca="1" si="327"/>
        <v>-0.72908249254060598</v>
      </c>
      <c r="E750" s="307">
        <f t="shared" ca="1" si="328"/>
        <v>-2.4225608989580412</v>
      </c>
      <c r="F750" s="304">
        <f t="shared" ca="1" si="329"/>
        <v>2.5298937902784804</v>
      </c>
      <c r="G750" s="306">
        <f t="shared" ca="1" si="330"/>
        <v>11.878129401075611</v>
      </c>
      <c r="H750" s="307">
        <f t="shared" ca="1" si="331"/>
        <v>-120.35630221881938</v>
      </c>
      <c r="I750" s="304">
        <f t="shared" ca="1" si="332"/>
        <v>120.94101637515902</v>
      </c>
      <c r="J750" s="306">
        <f t="shared" ca="1" si="333"/>
        <v>755.70453742140728</v>
      </c>
      <c r="K750" s="307">
        <f t="shared" ca="1" si="334"/>
        <v>-5.1479151619030521</v>
      </c>
      <c r="L750" s="304">
        <f t="shared" ca="1" si="319"/>
        <v>755.72207120727739</v>
      </c>
      <c r="M750" s="306">
        <f t="shared" ca="1" si="335"/>
        <v>-1.4724235061294297</v>
      </c>
      <c r="N750" s="304">
        <f t="shared" ca="1" si="336"/>
        <v>-84.363652557071418</v>
      </c>
      <c r="P750" s="310">
        <f t="shared" ca="1" si="337"/>
        <v>23</v>
      </c>
      <c r="Q750" s="304">
        <f t="shared" ca="1" si="338"/>
        <v>0</v>
      </c>
      <c r="R750" s="306">
        <f t="shared" ca="1" si="339"/>
        <v>0</v>
      </c>
      <c r="S750" s="307">
        <f t="shared" ca="1" si="340"/>
        <v>7.9769999999999968</v>
      </c>
      <c r="T750" s="304">
        <f t="shared" ca="1" si="320"/>
        <v>78.254369999999966</v>
      </c>
      <c r="U750" s="311">
        <f t="shared" ca="1" si="321"/>
        <v>0</v>
      </c>
      <c r="V750" s="306">
        <f t="shared" ca="1" si="322"/>
        <v>1.225630781967936</v>
      </c>
      <c r="W750" s="304">
        <f t="shared" ca="1" si="323"/>
        <v>59.216198090719324</v>
      </c>
      <c r="Y750" s="314" t="str">
        <f t="shared" ca="1" si="341"/>
        <v/>
      </c>
      <c r="Z750" s="315" t="str">
        <f t="shared" ca="1" si="342"/>
        <v/>
      </c>
      <c r="AA750" s="316" t="str">
        <f t="shared" ca="1" si="343"/>
        <v/>
      </c>
      <c r="AC750" s="310" t="e">
        <f t="shared" ca="1" si="344"/>
        <v>#N/A</v>
      </c>
      <c r="AD750" s="323" t="e">
        <f t="shared" ca="1" si="345"/>
        <v>#N/A</v>
      </c>
      <c r="AE750" s="324" t="e">
        <f t="shared" ca="1" si="324"/>
        <v>#N/A</v>
      </c>
      <c r="AG750" s="306">
        <f t="shared" ca="1" si="346"/>
        <v>2.3392414844551013</v>
      </c>
      <c r="AH750" s="304">
        <f t="shared" ca="1" si="347"/>
        <v>-7.4233292903206749</v>
      </c>
    </row>
    <row r="751" spans="1:34" x14ac:dyDescent="0.2">
      <c r="A751" s="347">
        <f t="shared" ca="1" si="325"/>
        <v>1E-4</v>
      </c>
      <c r="B751" s="304">
        <f t="shared" ca="1" si="326"/>
        <v>33.623100000000974</v>
      </c>
      <c r="D751" s="306">
        <f t="shared" ca="1" si="327"/>
        <v>-0.72908030512048505</v>
      </c>
      <c r="E751" s="307">
        <f t="shared" ca="1" si="328"/>
        <v>-2.4225228491849879</v>
      </c>
      <c r="F751" s="304">
        <f t="shared" ca="1" si="329"/>
        <v>2.5298567244288623</v>
      </c>
      <c r="G751" s="306">
        <f t="shared" ca="1" si="330"/>
        <v>11.878056493045099</v>
      </c>
      <c r="H751" s="307">
        <f t="shared" ca="1" si="331"/>
        <v>-120.3565444711043</v>
      </c>
      <c r="I751" s="304">
        <f t="shared" ca="1" si="332"/>
        <v>120.94125029565751</v>
      </c>
      <c r="J751" s="306">
        <f t="shared" ca="1" si="333"/>
        <v>755.70453742140728</v>
      </c>
      <c r="K751" s="307">
        <f t="shared" ca="1" si="334"/>
        <v>-5.1599508042375479</v>
      </c>
      <c r="L751" s="304">
        <f t="shared" ca="1" si="319"/>
        <v>755.72215328889581</v>
      </c>
      <c r="M751" s="306">
        <f t="shared" ca="1" si="335"/>
        <v>-1.4724243027820547</v>
      </c>
      <c r="N751" s="304">
        <f t="shared" ca="1" si="336"/>
        <v>-84.363698201904569</v>
      </c>
      <c r="P751" s="310">
        <f t="shared" ca="1" si="337"/>
        <v>23</v>
      </c>
      <c r="Q751" s="304">
        <f t="shared" ca="1" si="338"/>
        <v>0</v>
      </c>
      <c r="R751" s="306">
        <f t="shared" ca="1" si="339"/>
        <v>0</v>
      </c>
      <c r="S751" s="307">
        <f t="shared" ca="1" si="340"/>
        <v>7.9769999999999968</v>
      </c>
      <c r="T751" s="304">
        <f t="shared" ca="1" si="320"/>
        <v>78.254369999999966</v>
      </c>
      <c r="U751" s="311">
        <f t="shared" ca="1" si="321"/>
        <v>0</v>
      </c>
      <c r="V751" s="306">
        <f t="shared" ca="1" si="322"/>
        <v>1.2256322570942944</v>
      </c>
      <c r="W751" s="304">
        <f t="shared" ca="1" si="323"/>
        <v>59.216498430162538</v>
      </c>
      <c r="Y751" s="314" t="str">
        <f t="shared" ca="1" si="341"/>
        <v/>
      </c>
      <c r="Z751" s="315" t="str">
        <f t="shared" ca="1" si="342"/>
        <v/>
      </c>
      <c r="AA751" s="316" t="str">
        <f t="shared" ca="1" si="343"/>
        <v/>
      </c>
      <c r="AC751" s="310" t="e">
        <f t="shared" ca="1" si="344"/>
        <v>#N/A</v>
      </c>
      <c r="AD751" s="323" t="e">
        <f t="shared" ca="1" si="345"/>
        <v>#N/A</v>
      </c>
      <c r="AE751" s="324" t="e">
        <f t="shared" ca="1" si="324"/>
        <v>#N/A</v>
      </c>
      <c r="AG751" s="306">
        <f t="shared" ca="1" si="346"/>
        <v>2.3392046010505911</v>
      </c>
      <c r="AH751" s="304">
        <f t="shared" ca="1" si="347"/>
        <v>-7.4233669412961447</v>
      </c>
    </row>
    <row r="752" spans="1:34" x14ac:dyDescent="0.2">
      <c r="A752" s="347">
        <f t="shared" ca="1" si="325"/>
        <v>1E-4</v>
      </c>
      <c r="B752" s="304">
        <f t="shared" ca="1" si="326"/>
        <v>33.623200000000978</v>
      </c>
      <c r="D752" s="306">
        <f t="shared" ca="1" si="327"/>
        <v>-0.72907811766968933</v>
      </c>
      <c r="E752" s="307">
        <f t="shared" ca="1" si="328"/>
        <v>-2.4224847997144687</v>
      </c>
      <c r="F752" s="304">
        <f t="shared" ca="1" si="329"/>
        <v>2.5298196588912076</v>
      </c>
      <c r="G752" s="306">
        <f t="shared" ca="1" si="330"/>
        <v>11.877983585233332</v>
      </c>
      <c r="H752" s="307">
        <f t="shared" ca="1" si="331"/>
        <v>-120.35678671958428</v>
      </c>
      <c r="I752" s="304">
        <f t="shared" ca="1" si="332"/>
        <v>120.94148421246769</v>
      </c>
      <c r="J752" s="306">
        <f t="shared" ca="1" si="333"/>
        <v>755.70453742140728</v>
      </c>
      <c r="K752" s="307">
        <f t="shared" ca="1" si="334"/>
        <v>-5.1719864707970826</v>
      </c>
      <c r="L752" s="304">
        <f t="shared" ca="1" si="319"/>
        <v>755.72223556235076</v>
      </c>
      <c r="M752" s="306">
        <f t="shared" ca="1" si="335"/>
        <v>-1.4724250994267083</v>
      </c>
      <c r="N752" s="304">
        <f t="shared" ca="1" si="336"/>
        <v>-84.363743846280997</v>
      </c>
      <c r="P752" s="310">
        <f t="shared" ca="1" si="337"/>
        <v>23</v>
      </c>
      <c r="Q752" s="304">
        <f t="shared" ca="1" si="338"/>
        <v>0</v>
      </c>
      <c r="R752" s="306">
        <f t="shared" ca="1" si="339"/>
        <v>0</v>
      </c>
      <c r="S752" s="307">
        <f t="shared" ca="1" si="340"/>
        <v>7.9769999999999968</v>
      </c>
      <c r="T752" s="304">
        <f t="shared" ca="1" si="320"/>
        <v>78.254369999999966</v>
      </c>
      <c r="U752" s="311">
        <f t="shared" ca="1" si="321"/>
        <v>0</v>
      </c>
      <c r="V752" s="306">
        <f t="shared" ca="1" si="322"/>
        <v>1.2256337322253972</v>
      </c>
      <c r="W752" s="304">
        <f t="shared" ca="1" si="323"/>
        <v>59.216798767217611</v>
      </c>
      <c r="Y752" s="314" t="str">
        <f t="shared" ca="1" si="341"/>
        <v/>
      </c>
      <c r="Z752" s="315" t="str">
        <f t="shared" ca="1" si="342"/>
        <v/>
      </c>
      <c r="AA752" s="316" t="str">
        <f t="shared" ca="1" si="343"/>
        <v/>
      </c>
      <c r="AC752" s="310" t="e">
        <f t="shared" ca="1" si="344"/>
        <v>#N/A</v>
      </c>
      <c r="AD752" s="323" t="e">
        <f t="shared" ca="1" si="345"/>
        <v>#N/A</v>
      </c>
      <c r="AE752" s="324" t="e">
        <f t="shared" ca="1" si="324"/>
        <v>#N/A</v>
      </c>
      <c r="AG752" s="306">
        <f t="shared" ca="1" si="346"/>
        <v>2.339167717931578</v>
      </c>
      <c r="AH752" s="304">
        <f t="shared" ca="1" si="347"/>
        <v>-7.4234045919722407</v>
      </c>
    </row>
    <row r="753" spans="1:34" x14ac:dyDescent="0.2">
      <c r="A753" s="347">
        <f t="shared" ca="1" si="325"/>
        <v>1E-4</v>
      </c>
      <c r="B753" s="304">
        <f t="shared" ca="1" si="326"/>
        <v>33.623300000000981</v>
      </c>
      <c r="D753" s="306">
        <f t="shared" ca="1" si="327"/>
        <v>-0.72907593018821815</v>
      </c>
      <c r="E753" s="307">
        <f t="shared" ca="1" si="328"/>
        <v>-2.4224467505464915</v>
      </c>
      <c r="F753" s="304">
        <f t="shared" ca="1" si="329"/>
        <v>2.5297825936655252</v>
      </c>
      <c r="G753" s="306">
        <f t="shared" ca="1" si="330"/>
        <v>11.877910677640314</v>
      </c>
      <c r="H753" s="307">
        <f t="shared" ca="1" si="331"/>
        <v>-120.35702896425933</v>
      </c>
      <c r="I753" s="304">
        <f t="shared" ca="1" si="332"/>
        <v>120.94171812558957</v>
      </c>
      <c r="J753" s="306">
        <f t="shared" ca="1" si="333"/>
        <v>755.70453742140728</v>
      </c>
      <c r="K753" s="307">
        <f t="shared" ca="1" si="334"/>
        <v>-5.1840221615812752</v>
      </c>
      <c r="L753" s="304">
        <f t="shared" ca="1" si="319"/>
        <v>755.72231802764361</v>
      </c>
      <c r="M753" s="306">
        <f t="shared" ca="1" si="335"/>
        <v>-1.4724258960633902</v>
      </c>
      <c r="N753" s="304">
        <f t="shared" ca="1" si="336"/>
        <v>-84.363789490200674</v>
      </c>
      <c r="P753" s="310">
        <f t="shared" ca="1" si="337"/>
        <v>23</v>
      </c>
      <c r="Q753" s="304">
        <f t="shared" ca="1" si="338"/>
        <v>0</v>
      </c>
      <c r="R753" s="306">
        <f t="shared" ca="1" si="339"/>
        <v>0</v>
      </c>
      <c r="S753" s="307">
        <f t="shared" ca="1" si="340"/>
        <v>7.9769999999999968</v>
      </c>
      <c r="T753" s="304">
        <f t="shared" ca="1" si="320"/>
        <v>78.254369999999966</v>
      </c>
      <c r="U753" s="311">
        <f t="shared" ca="1" si="321"/>
        <v>0</v>
      </c>
      <c r="V753" s="306">
        <f t="shared" ca="1" si="322"/>
        <v>1.2256352073612458</v>
      </c>
      <c r="W753" s="304">
        <f t="shared" ca="1" si="323"/>
        <v>59.217099101884592</v>
      </c>
      <c r="Y753" s="314" t="str">
        <f t="shared" ca="1" si="341"/>
        <v/>
      </c>
      <c r="Z753" s="315" t="str">
        <f t="shared" ca="1" si="342"/>
        <v/>
      </c>
      <c r="AA753" s="316" t="str">
        <f t="shared" ca="1" si="343"/>
        <v/>
      </c>
      <c r="AC753" s="310" t="e">
        <f t="shared" ca="1" si="344"/>
        <v>#N/A</v>
      </c>
      <c r="AD753" s="323" t="e">
        <f t="shared" ca="1" si="345"/>
        <v>#N/A</v>
      </c>
      <c r="AE753" s="324" t="e">
        <f t="shared" ca="1" si="324"/>
        <v>#N/A</v>
      </c>
      <c r="AG753" s="306">
        <f t="shared" ca="1" si="346"/>
        <v>2.3391308350980689</v>
      </c>
      <c r="AH753" s="304">
        <f t="shared" ca="1" si="347"/>
        <v>-7.4234422423489574</v>
      </c>
    </row>
    <row r="754" spans="1:34" x14ac:dyDescent="0.2">
      <c r="A754" s="347">
        <f t="shared" ca="1" si="325"/>
        <v>1E-4</v>
      </c>
      <c r="B754" s="304">
        <f t="shared" ca="1" si="326"/>
        <v>33.623400000000984</v>
      </c>
      <c r="D754" s="306">
        <f t="shared" ca="1" si="327"/>
        <v>-0.72907374267607572</v>
      </c>
      <c r="E754" s="307">
        <f t="shared" ca="1" si="328"/>
        <v>-2.4224087016810465</v>
      </c>
      <c r="F754" s="304">
        <f t="shared" ca="1" si="329"/>
        <v>2.5297455287518056</v>
      </c>
      <c r="G754" s="306">
        <f t="shared" ca="1" si="330"/>
        <v>11.877837770266046</v>
      </c>
      <c r="H754" s="307">
        <f t="shared" ca="1" si="331"/>
        <v>-120.35727120512949</v>
      </c>
      <c r="I754" s="304">
        <f t="shared" ca="1" si="332"/>
        <v>120.94195203502321</v>
      </c>
      <c r="J754" s="306">
        <f t="shared" ca="1" si="333"/>
        <v>755.70453742140728</v>
      </c>
      <c r="K754" s="307">
        <f t="shared" ca="1" si="334"/>
        <v>-5.1960578765897445</v>
      </c>
      <c r="L754" s="304">
        <f t="shared" ca="1" si="319"/>
        <v>755.72240068477527</v>
      </c>
      <c r="M754" s="306">
        <f t="shared" ca="1" si="335"/>
        <v>-1.472426692692101</v>
      </c>
      <c r="N754" s="304">
        <f t="shared" ca="1" si="336"/>
        <v>-84.363835133663642</v>
      </c>
      <c r="P754" s="310">
        <f t="shared" ca="1" si="337"/>
        <v>23</v>
      </c>
      <c r="Q754" s="304">
        <f t="shared" ca="1" si="338"/>
        <v>0</v>
      </c>
      <c r="R754" s="306">
        <f t="shared" ca="1" si="339"/>
        <v>0</v>
      </c>
      <c r="S754" s="307">
        <f t="shared" ca="1" si="340"/>
        <v>7.9769999999999968</v>
      </c>
      <c r="T754" s="304">
        <f t="shared" ca="1" si="320"/>
        <v>78.254369999999966</v>
      </c>
      <c r="U754" s="311">
        <f t="shared" ca="1" si="321"/>
        <v>0</v>
      </c>
      <c r="V754" s="306">
        <f t="shared" ca="1" si="322"/>
        <v>1.2256366825018388</v>
      </c>
      <c r="W754" s="304">
        <f t="shared" ca="1" si="323"/>
        <v>59.217399434163454</v>
      </c>
      <c r="Y754" s="314" t="str">
        <f t="shared" ca="1" si="341"/>
        <v/>
      </c>
      <c r="Z754" s="315" t="str">
        <f t="shared" ca="1" si="342"/>
        <v/>
      </c>
      <c r="AA754" s="316" t="str">
        <f t="shared" ca="1" si="343"/>
        <v/>
      </c>
      <c r="AC754" s="310" t="e">
        <f t="shared" ca="1" si="344"/>
        <v>#N/A</v>
      </c>
      <c r="AD754" s="323" t="e">
        <f t="shared" ca="1" si="345"/>
        <v>#N/A</v>
      </c>
      <c r="AE754" s="324" t="e">
        <f t="shared" ca="1" si="324"/>
        <v>#N/A</v>
      </c>
      <c r="AG754" s="306">
        <f t="shared" ca="1" si="346"/>
        <v>2.3390939525500558</v>
      </c>
      <c r="AH754" s="304">
        <f t="shared" ca="1" si="347"/>
        <v>-7.423479892426303</v>
      </c>
    </row>
    <row r="755" spans="1:34" x14ac:dyDescent="0.2">
      <c r="A755" s="347">
        <f t="shared" ca="1" si="325"/>
        <v>1E-4</v>
      </c>
      <c r="B755" s="304">
        <f t="shared" ca="1" si="326"/>
        <v>33.623500000000988</v>
      </c>
      <c r="D755" s="306">
        <f t="shared" ca="1" si="327"/>
        <v>-0.72907155513325972</v>
      </c>
      <c r="E755" s="307">
        <f t="shared" ca="1" si="328"/>
        <v>-2.4223706531181382</v>
      </c>
      <c r="F755" s="304">
        <f t="shared" ca="1" si="329"/>
        <v>2.5297084641500538</v>
      </c>
      <c r="G755" s="306">
        <f t="shared" ca="1" si="330"/>
        <v>11.877764863110533</v>
      </c>
      <c r="H755" s="307">
        <f t="shared" ca="1" si="331"/>
        <v>-120.3575134421948</v>
      </c>
      <c r="I755" s="304">
        <f t="shared" ca="1" si="332"/>
        <v>120.9421859407686</v>
      </c>
      <c r="J755" s="306">
        <f t="shared" ca="1" si="333"/>
        <v>755.70453742140728</v>
      </c>
      <c r="K755" s="307">
        <f t="shared" ca="1" si="334"/>
        <v>-5.2080936158221105</v>
      </c>
      <c r="L755" s="304">
        <f t="shared" ca="1" si="319"/>
        <v>755.72248353374687</v>
      </c>
      <c r="M755" s="306">
        <f t="shared" ca="1" si="335"/>
        <v>-1.4724274893128406</v>
      </c>
      <c r="N755" s="304">
        <f t="shared" ca="1" si="336"/>
        <v>-84.363880776669887</v>
      </c>
      <c r="P755" s="310">
        <f t="shared" ca="1" si="337"/>
        <v>23</v>
      </c>
      <c r="Q755" s="304">
        <f t="shared" ca="1" si="338"/>
        <v>0</v>
      </c>
      <c r="R755" s="306">
        <f t="shared" ca="1" si="339"/>
        <v>0</v>
      </c>
      <c r="S755" s="307">
        <f t="shared" ca="1" si="340"/>
        <v>7.9769999999999968</v>
      </c>
      <c r="T755" s="304">
        <f t="shared" ca="1" si="320"/>
        <v>78.254369999999966</v>
      </c>
      <c r="U755" s="311">
        <f t="shared" ca="1" si="321"/>
        <v>0</v>
      </c>
      <c r="V755" s="306">
        <f t="shared" ca="1" si="322"/>
        <v>1.2256381576471769</v>
      </c>
      <c r="W755" s="304">
        <f t="shared" ca="1" si="323"/>
        <v>59.217699764054146</v>
      </c>
      <c r="Y755" s="314" t="str">
        <f t="shared" ca="1" si="341"/>
        <v/>
      </c>
      <c r="Z755" s="315" t="str">
        <f t="shared" ca="1" si="342"/>
        <v/>
      </c>
      <c r="AA755" s="316" t="str">
        <f t="shared" ca="1" si="343"/>
        <v/>
      </c>
      <c r="AC755" s="310" t="e">
        <f t="shared" ca="1" si="344"/>
        <v>#N/A</v>
      </c>
      <c r="AD755" s="323" t="e">
        <f t="shared" ca="1" si="345"/>
        <v>#N/A</v>
      </c>
      <c r="AE755" s="324" t="e">
        <f t="shared" ca="1" si="324"/>
        <v>#N/A</v>
      </c>
      <c r="AG755" s="306">
        <f t="shared" ca="1" si="346"/>
        <v>2.3390570702875424</v>
      </c>
      <c r="AH755" s="304">
        <f t="shared" ca="1" si="347"/>
        <v>-7.4235175422042721</v>
      </c>
    </row>
    <row r="756" spans="1:34" x14ac:dyDescent="0.2">
      <c r="A756" s="347">
        <f t="shared" ca="1" si="325"/>
        <v>1E-4</v>
      </c>
      <c r="B756" s="304">
        <f t="shared" ca="1" si="326"/>
        <v>33.623600000000991</v>
      </c>
      <c r="D756" s="306">
        <f t="shared" ca="1" si="327"/>
        <v>-0.72906936755977136</v>
      </c>
      <c r="E756" s="307">
        <f t="shared" ca="1" si="328"/>
        <v>-2.4223326048577745</v>
      </c>
      <c r="F756" s="304">
        <f t="shared" ca="1" si="329"/>
        <v>2.5296713998602773</v>
      </c>
      <c r="G756" s="306">
        <f t="shared" ca="1" si="330"/>
        <v>11.877691956173777</v>
      </c>
      <c r="H756" s="307">
        <f t="shared" ca="1" si="331"/>
        <v>-120.35775567545528</v>
      </c>
      <c r="I756" s="304">
        <f t="shared" ca="1" si="332"/>
        <v>120.9424198428258</v>
      </c>
      <c r="J756" s="306">
        <f t="shared" ca="1" si="333"/>
        <v>755.70453742140728</v>
      </c>
      <c r="K756" s="307">
        <f t="shared" ca="1" si="334"/>
        <v>-5.220129379277993</v>
      </c>
      <c r="L756" s="304">
        <f t="shared" ca="1" si="319"/>
        <v>755.72256657455955</v>
      </c>
      <c r="M756" s="306">
        <f t="shared" ca="1" si="335"/>
        <v>-1.472428285925609</v>
      </c>
      <c r="N756" s="304">
        <f t="shared" ca="1" si="336"/>
        <v>-84.363926419219425</v>
      </c>
      <c r="P756" s="310">
        <f t="shared" ca="1" si="337"/>
        <v>23</v>
      </c>
      <c r="Q756" s="304">
        <f t="shared" ca="1" si="338"/>
        <v>0</v>
      </c>
      <c r="R756" s="306">
        <f t="shared" ca="1" si="339"/>
        <v>0</v>
      </c>
      <c r="S756" s="307">
        <f t="shared" ca="1" si="340"/>
        <v>7.9769999999999968</v>
      </c>
      <c r="T756" s="304">
        <f t="shared" ca="1" si="320"/>
        <v>78.254369999999966</v>
      </c>
      <c r="U756" s="311">
        <f t="shared" ca="1" si="321"/>
        <v>0</v>
      </c>
      <c r="V756" s="306">
        <f t="shared" ca="1" si="322"/>
        <v>1.2256396327972596</v>
      </c>
      <c r="W756" s="304">
        <f t="shared" ca="1" si="323"/>
        <v>59.218000091556725</v>
      </c>
      <c r="Y756" s="314" t="str">
        <f t="shared" ca="1" si="341"/>
        <v/>
      </c>
      <c r="Z756" s="315" t="str">
        <f t="shared" ca="1" si="342"/>
        <v/>
      </c>
      <c r="AA756" s="316" t="str">
        <f t="shared" ca="1" si="343"/>
        <v/>
      </c>
      <c r="AC756" s="310" t="e">
        <f t="shared" ca="1" si="344"/>
        <v>#N/A</v>
      </c>
      <c r="AD756" s="323" t="e">
        <f t="shared" ca="1" si="345"/>
        <v>#N/A</v>
      </c>
      <c r="AE756" s="324" t="e">
        <f t="shared" ca="1" si="324"/>
        <v>#N/A</v>
      </c>
      <c r="AG756" s="306">
        <f t="shared" ca="1" si="346"/>
        <v>2.3390201883105357</v>
      </c>
      <c r="AH756" s="304">
        <f t="shared" ca="1" si="347"/>
        <v>-7.4235551916828593</v>
      </c>
    </row>
    <row r="757" spans="1:34" x14ac:dyDescent="0.2">
      <c r="A757" s="347">
        <f t="shared" ca="1" si="325"/>
        <v>1E-4</v>
      </c>
      <c r="B757" s="304">
        <f t="shared" ca="1" si="326"/>
        <v>33.623700000000994</v>
      </c>
      <c r="D757" s="306">
        <f t="shared" ca="1" si="327"/>
        <v>-0.72906717995561277</v>
      </c>
      <c r="E757" s="307">
        <f t="shared" ca="1" si="328"/>
        <v>-2.4222945568999457</v>
      </c>
      <c r="F757" s="304">
        <f t="shared" ca="1" si="329"/>
        <v>2.5296343358824678</v>
      </c>
      <c r="G757" s="306">
        <f t="shared" ca="1" si="330"/>
        <v>11.877619049455781</v>
      </c>
      <c r="H757" s="307">
        <f t="shared" ca="1" si="331"/>
        <v>-120.35799790491097</v>
      </c>
      <c r="I757" s="304">
        <f t="shared" ca="1" si="332"/>
        <v>120.94265374119483</v>
      </c>
      <c r="J757" s="306">
        <f t="shared" ca="1" si="333"/>
        <v>755.70453742140728</v>
      </c>
      <c r="K757" s="307">
        <f t="shared" ca="1" si="334"/>
        <v>-5.2321651669570111</v>
      </c>
      <c r="L757" s="304">
        <f t="shared" ca="1" si="319"/>
        <v>755.72264980721434</v>
      </c>
      <c r="M757" s="306">
        <f t="shared" ca="1" si="335"/>
        <v>-1.4724290825304067</v>
      </c>
      <c r="N757" s="304">
        <f t="shared" ca="1" si="336"/>
        <v>-84.363972061312282</v>
      </c>
      <c r="P757" s="310">
        <f t="shared" ca="1" si="337"/>
        <v>23</v>
      </c>
      <c r="Q757" s="304">
        <f t="shared" ca="1" si="338"/>
        <v>0</v>
      </c>
      <c r="R757" s="306">
        <f t="shared" ca="1" si="339"/>
        <v>0</v>
      </c>
      <c r="S757" s="307">
        <f t="shared" ca="1" si="340"/>
        <v>7.9769999999999968</v>
      </c>
      <c r="T757" s="304">
        <f t="shared" ca="1" si="320"/>
        <v>78.254369999999966</v>
      </c>
      <c r="U757" s="311">
        <f t="shared" ca="1" si="321"/>
        <v>0</v>
      </c>
      <c r="V757" s="306">
        <f t="shared" ca="1" si="322"/>
        <v>1.2256411079520868</v>
      </c>
      <c r="W757" s="304">
        <f t="shared" ca="1" si="323"/>
        <v>59.218300416671134</v>
      </c>
      <c r="Y757" s="314" t="str">
        <f t="shared" ca="1" si="341"/>
        <v/>
      </c>
      <c r="Z757" s="315" t="str">
        <f t="shared" ca="1" si="342"/>
        <v/>
      </c>
      <c r="AA757" s="316" t="str">
        <f t="shared" ca="1" si="343"/>
        <v/>
      </c>
      <c r="AC757" s="310" t="e">
        <f t="shared" ca="1" si="344"/>
        <v>#N/A</v>
      </c>
      <c r="AD757" s="323" t="e">
        <f t="shared" ca="1" si="345"/>
        <v>#N/A</v>
      </c>
      <c r="AE757" s="324" t="e">
        <f t="shared" ca="1" si="324"/>
        <v>#N/A</v>
      </c>
      <c r="AG757" s="306">
        <f t="shared" ca="1" si="346"/>
        <v>2.3389833066190304</v>
      </c>
      <c r="AH757" s="304">
        <f t="shared" ca="1" si="347"/>
        <v>-7.4235928408620717</v>
      </c>
    </row>
    <row r="758" spans="1:34" x14ac:dyDescent="0.2">
      <c r="A758" s="347">
        <f t="shared" ca="1" si="325"/>
        <v>1E-4</v>
      </c>
      <c r="B758" s="304">
        <f t="shared" ca="1" si="326"/>
        <v>33.623800000000998</v>
      </c>
      <c r="D758" s="306">
        <f t="shared" ca="1" si="327"/>
        <v>-0.72906499232078181</v>
      </c>
      <c r="E758" s="307">
        <f t="shared" ca="1" si="328"/>
        <v>-2.4222565092446606</v>
      </c>
      <c r="F758" s="304">
        <f t="shared" ca="1" si="329"/>
        <v>2.5295972722166327</v>
      </c>
      <c r="G758" s="306">
        <f t="shared" ca="1" si="330"/>
        <v>11.877546142956549</v>
      </c>
      <c r="H758" s="307">
        <f t="shared" ca="1" si="331"/>
        <v>-120.3582401305619</v>
      </c>
      <c r="I758" s="304">
        <f t="shared" ca="1" si="332"/>
        <v>120.94288763587573</v>
      </c>
      <c r="J758" s="306">
        <f t="shared" ca="1" si="333"/>
        <v>755.70453742140728</v>
      </c>
      <c r="K758" s="307">
        <f t="shared" ca="1" si="334"/>
        <v>-5.2442009788587844</v>
      </c>
      <c r="L758" s="304">
        <f t="shared" ca="1" si="319"/>
        <v>755.72273323171237</v>
      </c>
      <c r="M758" s="306">
        <f t="shared" ca="1" si="335"/>
        <v>-1.4724298791272334</v>
      </c>
      <c r="N758" s="304">
        <f t="shared" ca="1" si="336"/>
        <v>-84.364017702948416</v>
      </c>
      <c r="P758" s="310">
        <f t="shared" ca="1" si="337"/>
        <v>23</v>
      </c>
      <c r="Q758" s="304">
        <f t="shared" ca="1" si="338"/>
        <v>0</v>
      </c>
      <c r="R758" s="306">
        <f t="shared" ca="1" si="339"/>
        <v>0</v>
      </c>
      <c r="S758" s="307">
        <f t="shared" ca="1" si="340"/>
        <v>7.9769999999999968</v>
      </c>
      <c r="T758" s="304">
        <f t="shared" ca="1" si="320"/>
        <v>78.254369999999966</v>
      </c>
      <c r="U758" s="311">
        <f t="shared" ca="1" si="321"/>
        <v>0</v>
      </c>
      <c r="V758" s="306">
        <f t="shared" ca="1" si="322"/>
        <v>1.2256425831116593</v>
      </c>
      <c r="W758" s="304">
        <f t="shared" ca="1" si="323"/>
        <v>59.218600739397452</v>
      </c>
      <c r="Y758" s="314" t="str">
        <f t="shared" ca="1" si="341"/>
        <v/>
      </c>
      <c r="Z758" s="315" t="str">
        <f t="shared" ca="1" si="342"/>
        <v/>
      </c>
      <c r="AA758" s="316" t="str">
        <f t="shared" ca="1" si="343"/>
        <v/>
      </c>
      <c r="AC758" s="310" t="e">
        <f t="shared" ca="1" si="344"/>
        <v>#N/A</v>
      </c>
      <c r="AD758" s="323" t="e">
        <f t="shared" ca="1" si="345"/>
        <v>#N/A</v>
      </c>
      <c r="AE758" s="324" t="e">
        <f t="shared" ca="1" si="324"/>
        <v>#N/A</v>
      </c>
      <c r="AG758" s="306">
        <f t="shared" ca="1" si="346"/>
        <v>2.3389464252130319</v>
      </c>
      <c r="AH758" s="304">
        <f t="shared" ca="1" si="347"/>
        <v>-7.4236304897419023</v>
      </c>
    </row>
    <row r="759" spans="1:34" x14ac:dyDescent="0.2">
      <c r="A759" s="347">
        <f t="shared" ca="1" si="325"/>
        <v>1E-4</v>
      </c>
      <c r="B759" s="304">
        <f t="shared" ca="1" si="326"/>
        <v>33.623900000001001</v>
      </c>
      <c r="D759" s="306">
        <f t="shared" ca="1" si="327"/>
        <v>-0.72906280465528261</v>
      </c>
      <c r="E759" s="307">
        <f t="shared" ca="1" si="328"/>
        <v>-2.4222184618919078</v>
      </c>
      <c r="F759" s="304">
        <f t="shared" ca="1" si="329"/>
        <v>2.5295602088627631</v>
      </c>
      <c r="G759" s="306">
        <f t="shared" ca="1" si="330"/>
        <v>11.877473236676083</v>
      </c>
      <c r="H759" s="307">
        <f t="shared" ca="1" si="331"/>
        <v>-120.35848235240809</v>
      </c>
      <c r="I759" s="304">
        <f t="shared" ca="1" si="332"/>
        <v>120.94312152686851</v>
      </c>
      <c r="J759" s="306">
        <f t="shared" ca="1" si="333"/>
        <v>755.70453742140728</v>
      </c>
      <c r="K759" s="307">
        <f t="shared" ca="1" si="334"/>
        <v>-5.256236814982933</v>
      </c>
      <c r="L759" s="304">
        <f t="shared" ca="1" si="319"/>
        <v>755.72281684805466</v>
      </c>
      <c r="M759" s="306">
        <f t="shared" ca="1" si="335"/>
        <v>-1.4724306757160897</v>
      </c>
      <c r="N759" s="304">
        <f t="shared" ca="1" si="336"/>
        <v>-84.364063344127885</v>
      </c>
      <c r="P759" s="310">
        <f t="shared" ca="1" si="337"/>
        <v>23</v>
      </c>
      <c r="Q759" s="304">
        <f t="shared" ca="1" si="338"/>
        <v>0</v>
      </c>
      <c r="R759" s="306">
        <f t="shared" ca="1" si="339"/>
        <v>0</v>
      </c>
      <c r="S759" s="307">
        <f t="shared" ca="1" si="340"/>
        <v>7.9769999999999968</v>
      </c>
      <c r="T759" s="304">
        <f t="shared" ca="1" si="320"/>
        <v>78.254369999999966</v>
      </c>
      <c r="U759" s="311">
        <f t="shared" ca="1" si="321"/>
        <v>0</v>
      </c>
      <c r="V759" s="306">
        <f t="shared" ca="1" si="322"/>
        <v>1.2256440582759767</v>
      </c>
      <c r="W759" s="304">
        <f t="shared" ca="1" si="323"/>
        <v>59.218901059735614</v>
      </c>
      <c r="Y759" s="314" t="str">
        <f t="shared" ca="1" si="341"/>
        <v/>
      </c>
      <c r="Z759" s="315" t="str">
        <f t="shared" ca="1" si="342"/>
        <v/>
      </c>
      <c r="AA759" s="316" t="str">
        <f t="shared" ca="1" si="343"/>
        <v/>
      </c>
      <c r="AC759" s="310" t="e">
        <f t="shared" ca="1" si="344"/>
        <v>#N/A</v>
      </c>
      <c r="AD759" s="323" t="e">
        <f t="shared" ca="1" si="345"/>
        <v>#N/A</v>
      </c>
      <c r="AE759" s="324" t="e">
        <f t="shared" ca="1" si="324"/>
        <v>#N/A</v>
      </c>
      <c r="AG759" s="306">
        <f t="shared" ca="1" si="346"/>
        <v>2.3389095440925276</v>
      </c>
      <c r="AH759" s="304">
        <f t="shared" ca="1" si="347"/>
        <v>-7.4236681383223617</v>
      </c>
    </row>
    <row r="760" spans="1:34" x14ac:dyDescent="0.2">
      <c r="A760" s="347">
        <f t="shared" ca="1" si="325"/>
        <v>1E-4</v>
      </c>
      <c r="B760" s="304">
        <f t="shared" ca="1" si="326"/>
        <v>33.624000000001004</v>
      </c>
      <c r="D760" s="306">
        <f t="shared" ca="1" si="327"/>
        <v>-0.72906061695911262</v>
      </c>
      <c r="E760" s="307">
        <f t="shared" ca="1" si="328"/>
        <v>-2.4221804148416988</v>
      </c>
      <c r="F760" s="304">
        <f t="shared" ca="1" si="329"/>
        <v>2.5295231458208693</v>
      </c>
      <c r="G760" s="306">
        <f t="shared" ca="1" si="330"/>
        <v>11.877400330614387</v>
      </c>
      <c r="H760" s="307">
        <f t="shared" ca="1" si="331"/>
        <v>-120.35872457044957</v>
      </c>
      <c r="I760" s="304">
        <f t="shared" ca="1" si="332"/>
        <v>120.94335541417321</v>
      </c>
      <c r="J760" s="306">
        <f t="shared" ca="1" si="333"/>
        <v>755.70453742140728</v>
      </c>
      <c r="K760" s="307">
        <f t="shared" ca="1" si="334"/>
        <v>-5.2682726753290758</v>
      </c>
      <c r="L760" s="304">
        <f t="shared" ca="1" si="319"/>
        <v>755.72290065624236</v>
      </c>
      <c r="M760" s="306">
        <f t="shared" ca="1" si="335"/>
        <v>-1.4724314722969751</v>
      </c>
      <c r="N760" s="304">
        <f t="shared" ca="1" si="336"/>
        <v>-84.364108984850674</v>
      </c>
      <c r="P760" s="310">
        <f t="shared" ca="1" si="337"/>
        <v>23</v>
      </c>
      <c r="Q760" s="304">
        <f t="shared" ca="1" si="338"/>
        <v>0</v>
      </c>
      <c r="R760" s="306">
        <f t="shared" ca="1" si="339"/>
        <v>0</v>
      </c>
      <c r="S760" s="307">
        <f t="shared" ca="1" si="340"/>
        <v>7.9769999999999968</v>
      </c>
      <c r="T760" s="304">
        <f t="shared" ca="1" si="320"/>
        <v>78.254369999999966</v>
      </c>
      <c r="U760" s="311">
        <f t="shared" ca="1" si="321"/>
        <v>0</v>
      </c>
      <c r="V760" s="306">
        <f t="shared" ca="1" si="322"/>
        <v>1.2256455334450385</v>
      </c>
      <c r="W760" s="304">
        <f t="shared" ca="1" si="323"/>
        <v>59.219201377685621</v>
      </c>
      <c r="Y760" s="314" t="str">
        <f t="shared" ca="1" si="341"/>
        <v/>
      </c>
      <c r="Z760" s="315" t="str">
        <f t="shared" ca="1" si="342"/>
        <v/>
      </c>
      <c r="AA760" s="316" t="str">
        <f t="shared" ca="1" si="343"/>
        <v/>
      </c>
      <c r="AC760" s="310" t="e">
        <f t="shared" ca="1" si="344"/>
        <v>#N/A</v>
      </c>
      <c r="AD760" s="323" t="e">
        <f t="shared" ca="1" si="345"/>
        <v>#N/A</v>
      </c>
      <c r="AE760" s="324" t="e">
        <f t="shared" ca="1" si="324"/>
        <v>#N/A</v>
      </c>
      <c r="AG760" s="306">
        <f t="shared" ca="1" si="346"/>
        <v>2.3388726632575336</v>
      </c>
      <c r="AH760" s="304">
        <f t="shared" ca="1" si="347"/>
        <v>-7.4237057866034393</v>
      </c>
    </row>
    <row r="761" spans="1:34" x14ac:dyDescent="0.2">
      <c r="A761" s="347">
        <f t="shared" ca="1" si="325"/>
        <v>1E-4</v>
      </c>
      <c r="B761" s="304">
        <f t="shared" ca="1" si="326"/>
        <v>33.624100000001008</v>
      </c>
      <c r="D761" s="306">
        <f t="shared" ca="1" si="327"/>
        <v>-0.72905842923227515</v>
      </c>
      <c r="E761" s="307">
        <f t="shared" ca="1" si="328"/>
        <v>-2.4221423680940291</v>
      </c>
      <c r="F761" s="304">
        <f t="shared" ca="1" si="329"/>
        <v>2.5294860830909474</v>
      </c>
      <c r="G761" s="306">
        <f t="shared" ca="1" si="330"/>
        <v>11.877327424771464</v>
      </c>
      <c r="H761" s="307">
        <f t="shared" ca="1" si="331"/>
        <v>-120.35896678468637</v>
      </c>
      <c r="I761" s="304">
        <f t="shared" ca="1" si="332"/>
        <v>120.94358929778984</v>
      </c>
      <c r="J761" s="306">
        <f t="shared" ca="1" si="333"/>
        <v>755.70453742140728</v>
      </c>
      <c r="K761" s="307">
        <f t="shared" ca="1" si="334"/>
        <v>-5.2803085598968327</v>
      </c>
      <c r="L761" s="304">
        <f t="shared" ca="1" si="319"/>
        <v>755.72298465627659</v>
      </c>
      <c r="M761" s="306">
        <f t="shared" ca="1" si="335"/>
        <v>-1.4724322688698901</v>
      </c>
      <c r="N761" s="304">
        <f t="shared" ca="1" si="336"/>
        <v>-84.364154625116768</v>
      </c>
      <c r="P761" s="310">
        <f t="shared" ca="1" si="337"/>
        <v>23</v>
      </c>
      <c r="Q761" s="304">
        <f t="shared" ca="1" si="338"/>
        <v>0</v>
      </c>
      <c r="R761" s="306">
        <f t="shared" ca="1" si="339"/>
        <v>0</v>
      </c>
      <c r="S761" s="307">
        <f t="shared" ca="1" si="340"/>
        <v>7.9769999999999968</v>
      </c>
      <c r="T761" s="304">
        <f t="shared" ca="1" si="320"/>
        <v>78.254369999999966</v>
      </c>
      <c r="U761" s="311">
        <f t="shared" ca="1" si="321"/>
        <v>0</v>
      </c>
      <c r="V761" s="306">
        <f t="shared" ca="1" si="322"/>
        <v>1.2256470086188449</v>
      </c>
      <c r="W761" s="304">
        <f t="shared" ca="1" si="323"/>
        <v>59.219501693247487</v>
      </c>
      <c r="Y761" s="314" t="str">
        <f t="shared" ca="1" si="341"/>
        <v/>
      </c>
      <c r="Z761" s="315" t="str">
        <f t="shared" ca="1" si="342"/>
        <v/>
      </c>
      <c r="AA761" s="316" t="str">
        <f t="shared" ca="1" si="343"/>
        <v/>
      </c>
      <c r="AC761" s="310" t="e">
        <f t="shared" ca="1" si="344"/>
        <v>#N/A</v>
      </c>
      <c r="AD761" s="323" t="e">
        <f t="shared" ca="1" si="345"/>
        <v>#N/A</v>
      </c>
      <c r="AE761" s="324" t="e">
        <f t="shared" ca="1" si="324"/>
        <v>#N/A</v>
      </c>
      <c r="AG761" s="306">
        <f t="shared" ca="1" si="346"/>
        <v>2.3388357827080455</v>
      </c>
      <c r="AH761" s="304">
        <f t="shared" ca="1" si="347"/>
        <v>-7.4237434345851376</v>
      </c>
    </row>
    <row r="762" spans="1:34" x14ac:dyDescent="0.2">
      <c r="A762" s="347">
        <f t="shared" ca="1" si="325"/>
        <v>1E-4</v>
      </c>
      <c r="B762" s="304">
        <f t="shared" ca="1" si="326"/>
        <v>33.624200000001011</v>
      </c>
      <c r="D762" s="306">
        <f t="shared" ca="1" si="327"/>
        <v>-0.72905624147477055</v>
      </c>
      <c r="E762" s="307">
        <f t="shared" ca="1" si="328"/>
        <v>-2.4221043216489004</v>
      </c>
      <c r="F762" s="304">
        <f t="shared" ca="1" si="329"/>
        <v>2.5294490206729998</v>
      </c>
      <c r="G762" s="306">
        <f t="shared" ca="1" si="330"/>
        <v>11.877254519147316</v>
      </c>
      <c r="H762" s="307">
        <f t="shared" ca="1" si="331"/>
        <v>-120.35920899511854</v>
      </c>
      <c r="I762" s="304">
        <f t="shared" ca="1" si="332"/>
        <v>120.94382317771846</v>
      </c>
      <c r="J762" s="306">
        <f t="shared" ca="1" si="333"/>
        <v>755.70453742140728</v>
      </c>
      <c r="K762" s="307">
        <f t="shared" ca="1" si="334"/>
        <v>-5.2923444686858225</v>
      </c>
      <c r="L762" s="304">
        <f t="shared" ca="1" si="319"/>
        <v>755.72306884815839</v>
      </c>
      <c r="M762" s="306">
        <f t="shared" ca="1" si="335"/>
        <v>-1.472433065434835</v>
      </c>
      <c r="N762" s="304">
        <f t="shared" ca="1" si="336"/>
        <v>-84.364200264926225</v>
      </c>
      <c r="P762" s="310">
        <f t="shared" ca="1" si="337"/>
        <v>23</v>
      </c>
      <c r="Q762" s="304">
        <f t="shared" ca="1" si="338"/>
        <v>0</v>
      </c>
      <c r="R762" s="306">
        <f t="shared" ca="1" si="339"/>
        <v>0</v>
      </c>
      <c r="S762" s="307">
        <f t="shared" ca="1" si="340"/>
        <v>7.9769999999999968</v>
      </c>
      <c r="T762" s="304">
        <f t="shared" ca="1" si="320"/>
        <v>78.254369999999966</v>
      </c>
      <c r="U762" s="311">
        <f t="shared" ca="1" si="321"/>
        <v>0</v>
      </c>
      <c r="V762" s="306">
        <f t="shared" ca="1" si="322"/>
        <v>1.225648483797396</v>
      </c>
      <c r="W762" s="304">
        <f t="shared" ca="1" si="323"/>
        <v>59.219802006421183</v>
      </c>
      <c r="Y762" s="314" t="str">
        <f t="shared" ca="1" si="341"/>
        <v/>
      </c>
      <c r="Z762" s="315" t="str">
        <f t="shared" ca="1" si="342"/>
        <v/>
      </c>
      <c r="AA762" s="316" t="str">
        <f t="shared" ca="1" si="343"/>
        <v/>
      </c>
      <c r="AC762" s="310" t="e">
        <f t="shared" ca="1" si="344"/>
        <v>#N/A</v>
      </c>
      <c r="AD762" s="323" t="e">
        <f t="shared" ca="1" si="345"/>
        <v>#N/A</v>
      </c>
      <c r="AE762" s="324" t="e">
        <f t="shared" ca="1" si="324"/>
        <v>#N/A</v>
      </c>
      <c r="AG762" s="306">
        <f t="shared" ca="1" si="346"/>
        <v>2.3387989024440605</v>
      </c>
      <c r="AH762" s="304">
        <f t="shared" ca="1" si="347"/>
        <v>-7.4237810822674577</v>
      </c>
    </row>
    <row r="763" spans="1:34" x14ac:dyDescent="0.2">
      <c r="A763" s="347">
        <f t="shared" ca="1" si="325"/>
        <v>1E-4</v>
      </c>
      <c r="B763" s="304">
        <f t="shared" ca="1" si="326"/>
        <v>33.624300000001014</v>
      </c>
      <c r="D763" s="306">
        <f t="shared" ca="1" si="327"/>
        <v>-0.72905405368659659</v>
      </c>
      <c r="E763" s="307">
        <f t="shared" ca="1" si="328"/>
        <v>-2.4220662755063138</v>
      </c>
      <c r="F763" s="304">
        <f t="shared" ca="1" si="329"/>
        <v>2.5294119585670272</v>
      </c>
      <c r="G763" s="306">
        <f t="shared" ca="1" si="330"/>
        <v>11.877181613741948</v>
      </c>
      <c r="H763" s="307">
        <f t="shared" ca="1" si="331"/>
        <v>-120.35945120174608</v>
      </c>
      <c r="I763" s="304">
        <f t="shared" ca="1" si="332"/>
        <v>120.94405705395907</v>
      </c>
      <c r="J763" s="306">
        <f t="shared" ca="1" si="333"/>
        <v>755.70453742140728</v>
      </c>
      <c r="K763" s="307">
        <f t="shared" ca="1" si="334"/>
        <v>-5.3043804016956662</v>
      </c>
      <c r="L763" s="304">
        <f t="shared" ca="1" si="319"/>
        <v>755.72315323188889</v>
      </c>
      <c r="M763" s="306">
        <f t="shared" ca="1" si="335"/>
        <v>-1.4724338619918094</v>
      </c>
      <c r="N763" s="304">
        <f t="shared" ca="1" si="336"/>
        <v>-84.364245904279002</v>
      </c>
      <c r="P763" s="310">
        <f t="shared" ca="1" si="337"/>
        <v>23</v>
      </c>
      <c r="Q763" s="304">
        <f t="shared" ca="1" si="338"/>
        <v>0</v>
      </c>
      <c r="R763" s="306">
        <f t="shared" ca="1" si="339"/>
        <v>0</v>
      </c>
      <c r="S763" s="307">
        <f t="shared" ca="1" si="340"/>
        <v>7.9769999999999968</v>
      </c>
      <c r="T763" s="304">
        <f t="shared" ca="1" si="320"/>
        <v>78.254369999999966</v>
      </c>
      <c r="U763" s="311">
        <f t="shared" ca="1" si="321"/>
        <v>0</v>
      </c>
      <c r="V763" s="306">
        <f t="shared" ca="1" si="322"/>
        <v>1.2256499589806917</v>
      </c>
      <c r="W763" s="304">
        <f t="shared" ca="1" si="323"/>
        <v>59.220102317206731</v>
      </c>
      <c r="Y763" s="314" t="str">
        <f t="shared" ca="1" si="341"/>
        <v/>
      </c>
      <c r="Z763" s="315" t="str">
        <f t="shared" ca="1" si="342"/>
        <v/>
      </c>
      <c r="AA763" s="316" t="str">
        <f t="shared" ca="1" si="343"/>
        <v/>
      </c>
      <c r="AC763" s="310" t="e">
        <f t="shared" ca="1" si="344"/>
        <v>#N/A</v>
      </c>
      <c r="AD763" s="323" t="e">
        <f t="shared" ca="1" si="345"/>
        <v>#N/A</v>
      </c>
      <c r="AE763" s="324" t="e">
        <f t="shared" ca="1" si="324"/>
        <v>#N/A</v>
      </c>
      <c r="AG763" s="306">
        <f t="shared" ca="1" si="346"/>
        <v>2.3387620224655841</v>
      </c>
      <c r="AH763" s="304">
        <f t="shared" ca="1" si="347"/>
        <v>-7.4238187296503959</v>
      </c>
    </row>
    <row r="764" spans="1:34" x14ac:dyDescent="0.2">
      <c r="A764" s="347">
        <f t="shared" ca="1" si="325"/>
        <v>1E-4</v>
      </c>
      <c r="B764" s="304">
        <f t="shared" ca="1" si="326"/>
        <v>33.624400000001017</v>
      </c>
      <c r="D764" s="306">
        <f t="shared" ca="1" si="327"/>
        <v>-0.7290518658677585</v>
      </c>
      <c r="E764" s="307">
        <f t="shared" ca="1" si="328"/>
        <v>-2.4220282296662683</v>
      </c>
      <c r="F764" s="304">
        <f t="shared" ca="1" si="329"/>
        <v>2.5293748967730303</v>
      </c>
      <c r="G764" s="306">
        <f t="shared" ca="1" si="330"/>
        <v>11.877108708555362</v>
      </c>
      <c r="H764" s="307">
        <f t="shared" ca="1" si="331"/>
        <v>-120.35969340456904</v>
      </c>
      <c r="I764" s="304">
        <f t="shared" ca="1" si="332"/>
        <v>120.9442909265117</v>
      </c>
      <c r="J764" s="306">
        <f t="shared" ca="1" si="333"/>
        <v>755.70453742140728</v>
      </c>
      <c r="K764" s="307">
        <f t="shared" ca="1" si="334"/>
        <v>-5.3164163589259816</v>
      </c>
      <c r="L764" s="304">
        <f t="shared" ca="1" si="319"/>
        <v>755.7232378074691</v>
      </c>
      <c r="M764" s="306">
        <f t="shared" ca="1" si="335"/>
        <v>-1.4724346585408139</v>
      </c>
      <c r="N764" s="304">
        <f t="shared" ca="1" si="336"/>
        <v>-84.364291543175128</v>
      </c>
      <c r="P764" s="310">
        <f t="shared" ca="1" si="337"/>
        <v>23</v>
      </c>
      <c r="Q764" s="304">
        <f t="shared" ca="1" si="338"/>
        <v>0</v>
      </c>
      <c r="R764" s="306">
        <f t="shared" ca="1" si="339"/>
        <v>0</v>
      </c>
      <c r="S764" s="307">
        <f t="shared" ca="1" si="340"/>
        <v>7.9769999999999968</v>
      </c>
      <c r="T764" s="304">
        <f t="shared" ca="1" si="320"/>
        <v>78.254369999999966</v>
      </c>
      <c r="U764" s="311">
        <f t="shared" ca="1" si="321"/>
        <v>0</v>
      </c>
      <c r="V764" s="306">
        <f t="shared" ca="1" si="322"/>
        <v>1.2256514341687319</v>
      </c>
      <c r="W764" s="304">
        <f t="shared" ca="1" si="323"/>
        <v>59.220402625604102</v>
      </c>
      <c r="Y764" s="314" t="str">
        <f t="shared" ca="1" si="341"/>
        <v/>
      </c>
      <c r="Z764" s="315" t="str">
        <f t="shared" ca="1" si="342"/>
        <v/>
      </c>
      <c r="AA764" s="316" t="str">
        <f t="shared" ca="1" si="343"/>
        <v/>
      </c>
      <c r="AC764" s="310" t="e">
        <f t="shared" ca="1" si="344"/>
        <v>#N/A</v>
      </c>
      <c r="AD764" s="323" t="e">
        <f t="shared" ca="1" si="345"/>
        <v>#N/A</v>
      </c>
      <c r="AE764" s="324" t="e">
        <f t="shared" ca="1" si="324"/>
        <v>#N/A</v>
      </c>
      <c r="AG764" s="306">
        <f t="shared" ca="1" si="346"/>
        <v>2.3387251427726152</v>
      </c>
      <c r="AH764" s="304">
        <f t="shared" ca="1" si="347"/>
        <v>-7.4238563767339549</v>
      </c>
    </row>
    <row r="765" spans="1:34" x14ac:dyDescent="0.2">
      <c r="A765" s="347">
        <f t="shared" ca="1" si="325"/>
        <v>1E-4</v>
      </c>
      <c r="B765" s="304">
        <f t="shared" ca="1" si="326"/>
        <v>33.624500000001021</v>
      </c>
      <c r="D765" s="306">
        <f t="shared" ca="1" si="327"/>
        <v>-0.72904967801825249</v>
      </c>
      <c r="E765" s="307">
        <f t="shared" ca="1" si="328"/>
        <v>-2.4219901841287665</v>
      </c>
      <c r="F765" s="304">
        <f t="shared" ca="1" si="329"/>
        <v>2.5293378352910105</v>
      </c>
      <c r="G765" s="306">
        <f t="shared" ca="1" si="330"/>
        <v>11.87703580358756</v>
      </c>
      <c r="H765" s="307">
        <f t="shared" ca="1" si="331"/>
        <v>-120.35993560358746</v>
      </c>
      <c r="I765" s="304">
        <f t="shared" ca="1" si="332"/>
        <v>120.94452479537641</v>
      </c>
      <c r="J765" s="306">
        <f t="shared" ca="1" si="333"/>
        <v>755.70453742140728</v>
      </c>
      <c r="K765" s="307">
        <f t="shared" ca="1" si="334"/>
        <v>-5.3284523403763897</v>
      </c>
      <c r="L765" s="304">
        <f t="shared" ca="1" si="319"/>
        <v>755.72332257490029</v>
      </c>
      <c r="M765" s="306">
        <f t="shared" ca="1" si="335"/>
        <v>-1.4724354550818481</v>
      </c>
      <c r="N765" s="304">
        <f t="shared" ca="1" si="336"/>
        <v>-84.364337181614601</v>
      </c>
      <c r="P765" s="310">
        <f t="shared" ca="1" si="337"/>
        <v>23</v>
      </c>
      <c r="Q765" s="304">
        <f t="shared" ca="1" si="338"/>
        <v>0</v>
      </c>
      <c r="R765" s="306">
        <f t="shared" ca="1" si="339"/>
        <v>0</v>
      </c>
      <c r="S765" s="307">
        <f t="shared" ca="1" si="340"/>
        <v>7.9769999999999968</v>
      </c>
      <c r="T765" s="304">
        <f t="shared" ca="1" si="320"/>
        <v>78.254369999999966</v>
      </c>
      <c r="U765" s="311">
        <f t="shared" ca="1" si="321"/>
        <v>0</v>
      </c>
      <c r="V765" s="306">
        <f t="shared" ca="1" si="322"/>
        <v>1.2256529093615172</v>
      </c>
      <c r="W765" s="304">
        <f t="shared" ca="1" si="323"/>
        <v>59.22070293161336</v>
      </c>
      <c r="Y765" s="314" t="str">
        <f t="shared" ca="1" si="341"/>
        <v/>
      </c>
      <c r="Z765" s="315" t="str">
        <f t="shared" ca="1" si="342"/>
        <v/>
      </c>
      <c r="AA765" s="316" t="str">
        <f t="shared" ca="1" si="343"/>
        <v/>
      </c>
      <c r="AC765" s="310" t="e">
        <f t="shared" ca="1" si="344"/>
        <v>#N/A</v>
      </c>
      <c r="AD765" s="323" t="e">
        <f t="shared" ca="1" si="345"/>
        <v>#N/A</v>
      </c>
      <c r="AE765" s="324" t="e">
        <f t="shared" ca="1" si="324"/>
        <v>#N/A</v>
      </c>
      <c r="AG765" s="306">
        <f t="shared" ca="1" si="346"/>
        <v>2.3386882633651567</v>
      </c>
      <c r="AH765" s="304">
        <f t="shared" ca="1" si="347"/>
        <v>-7.4238940235181303</v>
      </c>
    </row>
    <row r="766" spans="1:34" x14ac:dyDescent="0.2">
      <c r="A766" s="347">
        <f t="shared" ca="1" si="325"/>
        <v>1E-4</v>
      </c>
      <c r="B766" s="304">
        <f t="shared" ca="1" si="326"/>
        <v>33.624600000001024</v>
      </c>
      <c r="D766" s="306">
        <f t="shared" ca="1" si="327"/>
        <v>-0.72904749013808445</v>
      </c>
      <c r="E766" s="307">
        <f t="shared" ca="1" si="328"/>
        <v>-2.4219521388938015</v>
      </c>
      <c r="F766" s="304">
        <f t="shared" ca="1" si="329"/>
        <v>2.5293007741209625</v>
      </c>
      <c r="G766" s="306">
        <f t="shared" ca="1" si="330"/>
        <v>11.876962898838546</v>
      </c>
      <c r="H766" s="307">
        <f t="shared" ca="1" si="331"/>
        <v>-120.36017779880135</v>
      </c>
      <c r="I766" s="304">
        <f t="shared" ca="1" si="332"/>
        <v>120.94475866055321</v>
      </c>
      <c r="J766" s="306">
        <f t="shared" ca="1" si="333"/>
        <v>755.70453742140728</v>
      </c>
      <c r="K766" s="307">
        <f t="shared" ca="1" si="334"/>
        <v>-5.3404883460465093</v>
      </c>
      <c r="L766" s="304">
        <f t="shared" ca="1" si="319"/>
        <v>755.72340753418337</v>
      </c>
      <c r="M766" s="306">
        <f t="shared" ca="1" si="335"/>
        <v>-1.4724362516149128</v>
      </c>
      <c r="N766" s="304">
        <f t="shared" ca="1" si="336"/>
        <v>-84.364382819597452</v>
      </c>
      <c r="P766" s="310">
        <f t="shared" ca="1" si="337"/>
        <v>23</v>
      </c>
      <c r="Q766" s="304">
        <f t="shared" ca="1" si="338"/>
        <v>0</v>
      </c>
      <c r="R766" s="306">
        <f t="shared" ca="1" si="339"/>
        <v>0</v>
      </c>
      <c r="S766" s="307">
        <f t="shared" ca="1" si="340"/>
        <v>7.9769999999999968</v>
      </c>
      <c r="T766" s="304">
        <f t="shared" ca="1" si="320"/>
        <v>78.254369999999966</v>
      </c>
      <c r="U766" s="311">
        <f t="shared" ca="1" si="321"/>
        <v>0</v>
      </c>
      <c r="V766" s="306">
        <f t="shared" ca="1" si="322"/>
        <v>1.2256543845590464</v>
      </c>
      <c r="W766" s="304">
        <f t="shared" ca="1" si="323"/>
        <v>59.221003235234406</v>
      </c>
      <c r="Y766" s="314" t="str">
        <f t="shared" ca="1" si="341"/>
        <v/>
      </c>
      <c r="Z766" s="315" t="str">
        <f t="shared" ca="1" si="342"/>
        <v/>
      </c>
      <c r="AA766" s="316" t="str">
        <f t="shared" ca="1" si="343"/>
        <v/>
      </c>
      <c r="AC766" s="310" t="e">
        <f t="shared" ca="1" si="344"/>
        <v>#N/A</v>
      </c>
      <c r="AD766" s="323" t="e">
        <f t="shared" ca="1" si="345"/>
        <v>#N/A</v>
      </c>
      <c r="AE766" s="324" t="e">
        <f t="shared" ca="1" si="324"/>
        <v>#N/A</v>
      </c>
      <c r="AG766" s="306">
        <f t="shared" ca="1" si="346"/>
        <v>2.3386513842431986</v>
      </c>
      <c r="AH766" s="304">
        <f t="shared" ca="1" si="347"/>
        <v>-7.4239316700029319</v>
      </c>
    </row>
    <row r="767" spans="1:34" x14ac:dyDescent="0.2">
      <c r="A767" s="347">
        <f t="shared" ca="1" si="325"/>
        <v>1E-4</v>
      </c>
      <c r="B767" s="304">
        <f t="shared" ca="1" si="326"/>
        <v>33.624700000001027</v>
      </c>
      <c r="D767" s="306">
        <f t="shared" ca="1" si="327"/>
        <v>-0.72904530222724973</v>
      </c>
      <c r="E767" s="307">
        <f t="shared" ca="1" si="328"/>
        <v>-2.4219140939613855</v>
      </c>
      <c r="F767" s="304">
        <f t="shared" ca="1" si="329"/>
        <v>2.5292637132628975</v>
      </c>
      <c r="G767" s="306">
        <f t="shared" ca="1" si="330"/>
        <v>11.876889994308323</v>
      </c>
      <c r="H767" s="307">
        <f t="shared" ca="1" si="331"/>
        <v>-120.36041999021074</v>
      </c>
      <c r="I767" s="304">
        <f t="shared" ca="1" si="332"/>
        <v>120.94499252204211</v>
      </c>
      <c r="J767" s="306">
        <f t="shared" ca="1" si="333"/>
        <v>755.70453742140728</v>
      </c>
      <c r="K767" s="307">
        <f t="shared" ca="1" si="334"/>
        <v>-5.3525243759359595</v>
      </c>
      <c r="L767" s="304">
        <f t="shared" ca="1" si="319"/>
        <v>755.72349268531946</v>
      </c>
      <c r="M767" s="306">
        <f t="shared" ca="1" si="335"/>
        <v>-1.4724370481400075</v>
      </c>
      <c r="N767" s="304">
        <f t="shared" ca="1" si="336"/>
        <v>-84.364428457123651</v>
      </c>
      <c r="P767" s="310">
        <f t="shared" ca="1" si="337"/>
        <v>23</v>
      </c>
      <c r="Q767" s="304">
        <f t="shared" ca="1" si="338"/>
        <v>0</v>
      </c>
      <c r="R767" s="306">
        <f t="shared" ca="1" si="339"/>
        <v>0</v>
      </c>
      <c r="S767" s="307">
        <f t="shared" ca="1" si="340"/>
        <v>7.9769999999999968</v>
      </c>
      <c r="T767" s="304">
        <f t="shared" ca="1" si="320"/>
        <v>78.254369999999966</v>
      </c>
      <c r="U767" s="311">
        <f t="shared" ca="1" si="321"/>
        <v>0</v>
      </c>
      <c r="V767" s="306">
        <f t="shared" ca="1" si="322"/>
        <v>1.2256558597613201</v>
      </c>
      <c r="W767" s="304">
        <f t="shared" ca="1" si="323"/>
        <v>59.221303536467303</v>
      </c>
      <c r="Y767" s="314" t="str">
        <f t="shared" ca="1" si="341"/>
        <v/>
      </c>
      <c r="Z767" s="315" t="str">
        <f t="shared" ca="1" si="342"/>
        <v/>
      </c>
      <c r="AA767" s="316" t="str">
        <f t="shared" ca="1" si="343"/>
        <v/>
      </c>
      <c r="AC767" s="310" t="e">
        <f t="shared" ca="1" si="344"/>
        <v>#N/A</v>
      </c>
      <c r="AD767" s="323" t="e">
        <f t="shared" ca="1" si="345"/>
        <v>#N/A</v>
      </c>
      <c r="AE767" s="324" t="e">
        <f t="shared" ca="1" si="324"/>
        <v>#N/A</v>
      </c>
      <c r="AG767" s="306">
        <f t="shared" ca="1" si="346"/>
        <v>2.3386145054067589</v>
      </c>
      <c r="AH767" s="304">
        <f t="shared" ca="1" si="347"/>
        <v>-7.4239693161883453</v>
      </c>
    </row>
    <row r="768" spans="1:34" x14ac:dyDescent="0.2">
      <c r="A768" s="347">
        <f t="shared" ca="1" si="325"/>
        <v>1E-4</v>
      </c>
      <c r="B768" s="304">
        <f t="shared" ca="1" si="326"/>
        <v>33.624800000001031</v>
      </c>
      <c r="D768" s="306">
        <f t="shared" ca="1" si="327"/>
        <v>-0.72904311428575241</v>
      </c>
      <c r="E768" s="307">
        <f t="shared" ca="1" si="328"/>
        <v>-2.4218760493315097</v>
      </c>
      <c r="F768" s="304">
        <f t="shared" ca="1" si="329"/>
        <v>2.5292266527168081</v>
      </c>
      <c r="G768" s="306">
        <f t="shared" ca="1" si="330"/>
        <v>11.876817089996894</v>
      </c>
      <c r="H768" s="307">
        <f t="shared" ca="1" si="331"/>
        <v>-120.36066217781568</v>
      </c>
      <c r="I768" s="304">
        <f t="shared" ca="1" si="332"/>
        <v>120.94522637984318</v>
      </c>
      <c r="J768" s="306">
        <f t="shared" ca="1" si="333"/>
        <v>755.70453742140728</v>
      </c>
      <c r="K768" s="307">
        <f t="shared" ca="1" si="334"/>
        <v>-5.364560430044361</v>
      </c>
      <c r="L768" s="304">
        <f t="shared" ca="1" si="319"/>
        <v>755.72357802830982</v>
      </c>
      <c r="M768" s="306">
        <f t="shared" ca="1" si="335"/>
        <v>-1.4724378446571329</v>
      </c>
      <c r="N768" s="304">
        <f t="shared" ca="1" si="336"/>
        <v>-84.364474094193241</v>
      </c>
      <c r="P768" s="310">
        <f t="shared" ca="1" si="337"/>
        <v>23</v>
      </c>
      <c r="Q768" s="304">
        <f t="shared" ca="1" si="338"/>
        <v>0</v>
      </c>
      <c r="R768" s="306">
        <f t="shared" ca="1" si="339"/>
        <v>0</v>
      </c>
      <c r="S768" s="307">
        <f t="shared" ca="1" si="340"/>
        <v>7.9769999999999968</v>
      </c>
      <c r="T768" s="304">
        <f t="shared" ca="1" si="320"/>
        <v>78.254369999999966</v>
      </c>
      <c r="U768" s="311">
        <f t="shared" ca="1" si="321"/>
        <v>0</v>
      </c>
      <c r="V768" s="306">
        <f t="shared" ca="1" si="322"/>
        <v>1.2256573349683386</v>
      </c>
      <c r="W768" s="304">
        <f t="shared" ca="1" si="323"/>
        <v>59.221603835312038</v>
      </c>
      <c r="Y768" s="314" t="str">
        <f t="shared" ca="1" si="341"/>
        <v/>
      </c>
      <c r="Z768" s="315" t="str">
        <f t="shared" ca="1" si="342"/>
        <v/>
      </c>
      <c r="AA768" s="316" t="str">
        <f t="shared" ca="1" si="343"/>
        <v/>
      </c>
      <c r="AC768" s="310" t="e">
        <f t="shared" ca="1" si="344"/>
        <v>#N/A</v>
      </c>
      <c r="AD768" s="323" t="e">
        <f t="shared" ca="1" si="345"/>
        <v>#N/A</v>
      </c>
      <c r="AE768" s="324" t="e">
        <f t="shared" ca="1" si="324"/>
        <v>#N/A</v>
      </c>
      <c r="AG768" s="306">
        <f t="shared" ca="1" si="346"/>
        <v>2.3385776268558267</v>
      </c>
      <c r="AH768" s="304">
        <f t="shared" ca="1" si="347"/>
        <v>-7.4240069620743796</v>
      </c>
    </row>
    <row r="769" spans="1:34" x14ac:dyDescent="0.2">
      <c r="A769" s="347">
        <f t="shared" ca="1" si="325"/>
        <v>1E-4</v>
      </c>
      <c r="B769" s="304">
        <f t="shared" ca="1" si="326"/>
        <v>33.624900000001034</v>
      </c>
      <c r="D769" s="306">
        <f t="shared" ca="1" si="327"/>
        <v>-0.72904092631359063</v>
      </c>
      <c r="E769" s="307">
        <f t="shared" ca="1" si="328"/>
        <v>-2.4218380050041759</v>
      </c>
      <c r="F769" s="304">
        <f t="shared" ca="1" si="329"/>
        <v>2.5291895924826959</v>
      </c>
      <c r="G769" s="306">
        <f t="shared" ca="1" si="330"/>
        <v>11.876744185904263</v>
      </c>
      <c r="H769" s="307">
        <f t="shared" ca="1" si="331"/>
        <v>-120.36090436161618</v>
      </c>
      <c r="I769" s="304">
        <f t="shared" ca="1" si="332"/>
        <v>120.9454602339564</v>
      </c>
      <c r="J769" s="306">
        <f t="shared" ca="1" si="333"/>
        <v>755.70453742140728</v>
      </c>
      <c r="K769" s="307">
        <f t="shared" ca="1" si="334"/>
        <v>-5.3765965083713327</v>
      </c>
      <c r="L769" s="304">
        <f t="shared" ca="1" si="319"/>
        <v>755.72366356315524</v>
      </c>
      <c r="M769" s="306">
        <f t="shared" ca="1" si="335"/>
        <v>-1.4724386411662884</v>
      </c>
      <c r="N769" s="304">
        <f t="shared" ca="1" si="336"/>
        <v>-84.364519730806208</v>
      </c>
      <c r="P769" s="310">
        <f t="shared" ca="1" si="337"/>
        <v>23</v>
      </c>
      <c r="Q769" s="304">
        <f t="shared" ca="1" si="338"/>
        <v>0</v>
      </c>
      <c r="R769" s="306">
        <f t="shared" ca="1" si="339"/>
        <v>0</v>
      </c>
      <c r="S769" s="307">
        <f t="shared" ca="1" si="340"/>
        <v>7.9769999999999968</v>
      </c>
      <c r="T769" s="304">
        <f t="shared" ca="1" si="320"/>
        <v>78.254369999999966</v>
      </c>
      <c r="U769" s="311">
        <f t="shared" ca="1" si="321"/>
        <v>0</v>
      </c>
      <c r="V769" s="306">
        <f t="shared" ca="1" si="322"/>
        <v>1.2256588101801016</v>
      </c>
      <c r="W769" s="304">
        <f t="shared" ca="1" si="323"/>
        <v>59.221904131768575</v>
      </c>
      <c r="Y769" s="314" t="str">
        <f t="shared" ca="1" si="341"/>
        <v/>
      </c>
      <c r="Z769" s="315" t="str">
        <f t="shared" ca="1" si="342"/>
        <v/>
      </c>
      <c r="AA769" s="316" t="str">
        <f t="shared" ca="1" si="343"/>
        <v/>
      </c>
      <c r="AC769" s="310" t="e">
        <f t="shared" ca="1" si="344"/>
        <v>#N/A</v>
      </c>
      <c r="AD769" s="323" t="e">
        <f t="shared" ca="1" si="345"/>
        <v>#N/A</v>
      </c>
      <c r="AE769" s="324" t="e">
        <f t="shared" ca="1" si="324"/>
        <v>#N/A</v>
      </c>
      <c r="AG769" s="306">
        <f t="shared" ca="1" si="346"/>
        <v>2.338540748590404</v>
      </c>
      <c r="AH769" s="304">
        <f t="shared" ca="1" si="347"/>
        <v>-7.4240446076610329</v>
      </c>
    </row>
    <row r="770" spans="1:34" x14ac:dyDescent="0.2">
      <c r="A770" s="347">
        <f t="shared" ca="1" si="325"/>
        <v>1E-4</v>
      </c>
      <c r="B770" s="304">
        <f t="shared" ca="1" si="326"/>
        <v>33.625000000001037</v>
      </c>
      <c r="D770" s="306">
        <f t="shared" ca="1" si="327"/>
        <v>-0.72903873831076893</v>
      </c>
      <c r="E770" s="307">
        <f t="shared" ca="1" si="328"/>
        <v>-2.4217999609793894</v>
      </c>
      <c r="F770" s="304">
        <f t="shared" ca="1" si="329"/>
        <v>2.529152532560567</v>
      </c>
      <c r="G770" s="306">
        <f t="shared" ca="1" si="330"/>
        <v>11.876671282030433</v>
      </c>
      <c r="H770" s="307">
        <f t="shared" ca="1" si="331"/>
        <v>-120.36114654161227</v>
      </c>
      <c r="I770" s="304">
        <f t="shared" ca="1" si="332"/>
        <v>120.94569408438181</v>
      </c>
      <c r="J770" s="306">
        <f t="shared" ca="1" si="333"/>
        <v>755.70453742140728</v>
      </c>
      <c r="K770" s="307">
        <f t="shared" ca="1" si="334"/>
        <v>-5.3886326109164946</v>
      </c>
      <c r="L770" s="304">
        <f t="shared" ca="1" si="319"/>
        <v>755.72374928985698</v>
      </c>
      <c r="M770" s="306">
        <f t="shared" ca="1" si="335"/>
        <v>-1.4724394376674748</v>
      </c>
      <c r="N770" s="304">
        <f t="shared" ca="1" si="336"/>
        <v>-84.364565366962552</v>
      </c>
      <c r="P770" s="310">
        <f t="shared" ca="1" si="337"/>
        <v>23</v>
      </c>
      <c r="Q770" s="304">
        <f t="shared" ca="1" si="338"/>
        <v>0</v>
      </c>
      <c r="R770" s="306">
        <f t="shared" ca="1" si="339"/>
        <v>0</v>
      </c>
      <c r="S770" s="307">
        <f t="shared" ca="1" si="340"/>
        <v>7.9769999999999968</v>
      </c>
      <c r="T770" s="304">
        <f t="shared" ca="1" si="320"/>
        <v>78.254369999999966</v>
      </c>
      <c r="U770" s="311">
        <f t="shared" ca="1" si="321"/>
        <v>0</v>
      </c>
      <c r="V770" s="306">
        <f t="shared" ca="1" si="322"/>
        <v>1.2256602853966085</v>
      </c>
      <c r="W770" s="304">
        <f t="shared" ca="1" si="323"/>
        <v>59.222204425836928</v>
      </c>
      <c r="Y770" s="314" t="str">
        <f t="shared" ca="1" si="341"/>
        <v/>
      </c>
      <c r="Z770" s="315" t="str">
        <f t="shared" ca="1" si="342"/>
        <v/>
      </c>
      <c r="AA770" s="316" t="str">
        <f t="shared" ca="1" si="343"/>
        <v/>
      </c>
      <c r="AC770" s="310" t="e">
        <f t="shared" ca="1" si="344"/>
        <v>#N/A</v>
      </c>
      <c r="AD770" s="323" t="e">
        <f t="shared" ca="1" si="345"/>
        <v>#N/A</v>
      </c>
      <c r="AE770" s="324" t="e">
        <f t="shared" ca="1" si="324"/>
        <v>#N/A</v>
      </c>
      <c r="AG770" s="306">
        <f t="shared" ca="1" si="346"/>
        <v>2.3385038706104933</v>
      </c>
      <c r="AH770" s="304">
        <f t="shared" ca="1" si="347"/>
        <v>-7.4240822529483008</v>
      </c>
    </row>
    <row r="771" spans="1:34" x14ac:dyDescent="0.2">
      <c r="A771" s="347">
        <f t="shared" ca="1" si="325"/>
        <v>1E-4</v>
      </c>
      <c r="B771" s="304">
        <f t="shared" ca="1" si="326"/>
        <v>33.625100000001041</v>
      </c>
      <c r="D771" s="306">
        <f t="shared" ca="1" si="327"/>
        <v>-0.7290365502772842</v>
      </c>
      <c r="E771" s="307">
        <f t="shared" ca="1" si="328"/>
        <v>-2.4217619172571476</v>
      </c>
      <c r="F771" s="304">
        <f t="shared" ca="1" si="329"/>
        <v>2.5291154729504184</v>
      </c>
      <c r="G771" s="306">
        <f t="shared" ca="1" si="330"/>
        <v>11.876598378375405</v>
      </c>
      <c r="H771" s="307">
        <f t="shared" ca="1" si="331"/>
        <v>-120.36138871780399</v>
      </c>
      <c r="I771" s="304">
        <f t="shared" ca="1" si="332"/>
        <v>120.94592793111946</v>
      </c>
      <c r="J771" s="306">
        <f t="shared" ca="1" si="333"/>
        <v>755.70453742140728</v>
      </c>
      <c r="K771" s="307">
        <f t="shared" ca="1" si="334"/>
        <v>-5.4006687376794655</v>
      </c>
      <c r="L771" s="304">
        <f t="shared" ca="1" si="319"/>
        <v>755.72383520841618</v>
      </c>
      <c r="M771" s="306">
        <f t="shared" ca="1" si="335"/>
        <v>-1.4724402341606919</v>
      </c>
      <c r="N771" s="304">
        <f t="shared" ca="1" si="336"/>
        <v>-84.364611002662315</v>
      </c>
      <c r="P771" s="310">
        <f t="shared" ca="1" si="337"/>
        <v>23</v>
      </c>
      <c r="Q771" s="304">
        <f t="shared" ca="1" si="338"/>
        <v>0</v>
      </c>
      <c r="R771" s="306">
        <f t="shared" ca="1" si="339"/>
        <v>0</v>
      </c>
      <c r="S771" s="307">
        <f t="shared" ca="1" si="340"/>
        <v>7.9769999999999968</v>
      </c>
      <c r="T771" s="304">
        <f t="shared" ca="1" si="320"/>
        <v>78.254369999999966</v>
      </c>
      <c r="U771" s="311">
        <f t="shared" ca="1" si="321"/>
        <v>0</v>
      </c>
      <c r="V771" s="306">
        <f t="shared" ca="1" si="322"/>
        <v>1.2256617606178597</v>
      </c>
      <c r="W771" s="304">
        <f t="shared" ca="1" si="323"/>
        <v>59.222504717517076</v>
      </c>
      <c r="Y771" s="314" t="str">
        <f t="shared" ca="1" si="341"/>
        <v/>
      </c>
      <c r="Z771" s="315" t="str">
        <f t="shared" ca="1" si="342"/>
        <v/>
      </c>
      <c r="AA771" s="316" t="str">
        <f t="shared" ca="1" si="343"/>
        <v/>
      </c>
      <c r="AC771" s="310" t="e">
        <f t="shared" ca="1" si="344"/>
        <v>#N/A</v>
      </c>
      <c r="AD771" s="323" t="e">
        <f t="shared" ca="1" si="345"/>
        <v>#N/A</v>
      </c>
      <c r="AE771" s="324" t="e">
        <f t="shared" ca="1" si="324"/>
        <v>#N/A</v>
      </c>
      <c r="AG771" s="306">
        <f t="shared" ca="1" si="346"/>
        <v>2.3384669929160982</v>
      </c>
      <c r="AH771" s="304">
        <f t="shared" ca="1" si="347"/>
        <v>-7.4241198979361851</v>
      </c>
    </row>
    <row r="772" spans="1:34" x14ac:dyDescent="0.2">
      <c r="A772" s="347">
        <f t="shared" ca="1" si="325"/>
        <v>1E-4</v>
      </c>
      <c r="B772" s="304">
        <f t="shared" ca="1" si="326"/>
        <v>33.625200000001044</v>
      </c>
      <c r="D772" s="306">
        <f t="shared" ca="1" si="327"/>
        <v>-0.72903436221313767</v>
      </c>
      <c r="E772" s="307">
        <f t="shared" ca="1" si="328"/>
        <v>-2.4217238738374531</v>
      </c>
      <c r="F772" s="304">
        <f t="shared" ca="1" si="329"/>
        <v>2.5290784136522531</v>
      </c>
      <c r="G772" s="306">
        <f t="shared" ca="1" si="330"/>
        <v>11.876525474939184</v>
      </c>
      <c r="H772" s="307">
        <f t="shared" ca="1" si="331"/>
        <v>-120.36163089019138</v>
      </c>
      <c r="I772" s="304">
        <f t="shared" ca="1" si="332"/>
        <v>120.94616177416938</v>
      </c>
      <c r="J772" s="306">
        <f t="shared" ca="1" si="333"/>
        <v>755.70453742140728</v>
      </c>
      <c r="K772" s="307">
        <f t="shared" ca="1" si="334"/>
        <v>-5.4127048886598654</v>
      </c>
      <c r="L772" s="304">
        <f t="shared" ref="L772:L835" ca="1" si="348">SQRT(pos_x^2+pos_z^2)</f>
        <v>755.72392131883373</v>
      </c>
      <c r="M772" s="306">
        <f t="shared" ca="1" si="335"/>
        <v>-1.4724410306459397</v>
      </c>
      <c r="N772" s="304">
        <f t="shared" ca="1" si="336"/>
        <v>-84.364656637905455</v>
      </c>
      <c r="P772" s="310">
        <f t="shared" ca="1" si="337"/>
        <v>23</v>
      </c>
      <c r="Q772" s="304">
        <f t="shared" ca="1" si="338"/>
        <v>0</v>
      </c>
      <c r="R772" s="306">
        <f t="shared" ca="1" si="339"/>
        <v>0</v>
      </c>
      <c r="S772" s="307">
        <f t="shared" ca="1" si="340"/>
        <v>7.9769999999999968</v>
      </c>
      <c r="T772" s="304">
        <f t="shared" ref="T772:T835" ca="1" si="349">m*g</f>
        <v>78.254369999999966</v>
      </c>
      <c r="U772" s="311">
        <f t="shared" ref="U772:U835" ca="1" si="350">IF(pos_xz&lt;L_rampe,Poids*COS(Beta),0)</f>
        <v>0</v>
      </c>
      <c r="V772" s="306">
        <f t="shared" ref="V772:V835" ca="1" si="351">Rho_moyen*(20000-Alt_rampe-pos_z)/(20000+Alt_rampe+pos_z)</f>
        <v>1.2256632358438555</v>
      </c>
      <c r="W772" s="304">
        <f t="shared" ref="W772:W835" ca="1" si="352">1/2*Rho*Sref*Cx*vit_xz^2</f>
        <v>59.222805006809097</v>
      </c>
      <c r="Y772" s="314" t="str">
        <f t="shared" ca="1" si="341"/>
        <v/>
      </c>
      <c r="Z772" s="315" t="str">
        <f t="shared" ca="1" si="342"/>
        <v/>
      </c>
      <c r="AA772" s="316" t="str">
        <f t="shared" ca="1" si="343"/>
        <v/>
      </c>
      <c r="AC772" s="310" t="e">
        <f t="shared" ca="1" si="344"/>
        <v>#N/A</v>
      </c>
      <c r="AD772" s="323" t="e">
        <f t="shared" ca="1" si="345"/>
        <v>#N/A</v>
      </c>
      <c r="AE772" s="324" t="e">
        <f t="shared" ref="AE772:AE835" ca="1" si="353">IF(t&lt;T_para, pos_z, NA())</f>
        <v>#N/A</v>
      </c>
      <c r="AG772" s="306">
        <f t="shared" ca="1" si="346"/>
        <v>2.3384301155072178</v>
      </c>
      <c r="AH772" s="304">
        <f t="shared" ca="1" si="347"/>
        <v>-7.4241575426246831</v>
      </c>
    </row>
    <row r="773" spans="1:34" x14ac:dyDescent="0.2">
      <c r="A773" s="347">
        <f t="shared" ref="A773:A836" ca="1" si="354">IF(B772+0.01&lt;=T_ini+ROUNDUP(Temps_fin_propu,0), 0.01, IF(K772&gt;0, 0.1, 0.0001))</f>
        <v>1E-4</v>
      </c>
      <c r="B773" s="304">
        <f t="shared" ref="B773:B836" ca="1" si="355">B772+pas</f>
        <v>33.625300000001047</v>
      </c>
      <c r="D773" s="306">
        <f t="shared" ref="D773:D836" ca="1" si="356">IF(AND(L772&lt;L_rampe,Poussee&lt;Poids*SIN(M772)),0,(-W772+Poussee)/m*COS(M772)-U772/m*SIN(M772))</f>
        <v>-0.72903217411833365</v>
      </c>
      <c r="E773" s="307">
        <f t="shared" ref="E773:E836" ca="1" si="357">IF(AND(L772&lt;L_rampe,Poussee&lt;Poids*SIN(M772)),0,(-W772+Poussee)/m*SIN(M772)+U772/m*COS(M772)-Poids/m)</f>
        <v>-2.4216858307202971</v>
      </c>
      <c r="F773" s="304">
        <f t="shared" ref="F773:F836" ca="1" si="358">SQRT(acc_x^2+acc_z^2)</f>
        <v>2.5290413546660639</v>
      </c>
      <c r="G773" s="306">
        <f t="shared" ref="G773:G836" ca="1" si="359">G772+acc_x*pas</f>
        <v>11.876452571721773</v>
      </c>
      <c r="H773" s="307">
        <f t="shared" ref="H773:H836" ca="1" si="360">H772+acc_z*pas</f>
        <v>-120.36187305877445</v>
      </c>
      <c r="I773" s="304">
        <f t="shared" ref="I773:I836" ca="1" si="361">SQRT(vit_x^2+vit_z^2)</f>
        <v>120.94639561353158</v>
      </c>
      <c r="J773" s="306">
        <f t="shared" ref="J773:J836" ca="1" si="362">J772+0.5*(vit_x+G772)*pas*(K772&gt;=0)</f>
        <v>755.70453742140728</v>
      </c>
      <c r="K773" s="307">
        <f t="shared" ref="K773:K836" ca="1" si="363">K772+0.5*(vit_z+H772)*pas</f>
        <v>-5.4247410638573141</v>
      </c>
      <c r="L773" s="304">
        <f t="shared" ca="1" si="348"/>
        <v>755.72400762111101</v>
      </c>
      <c r="M773" s="306">
        <f t="shared" ref="M773:M836" ca="1" si="364">IF(AND(L772&gt;L_rampe,G773&gt;0),ATAN2(G773,H773),$M$4)</f>
        <v>-1.4724418271232187</v>
      </c>
      <c r="N773" s="304">
        <f t="shared" ref="N773:N836" ca="1" si="365">DEGREES(Beta)</f>
        <v>-84.364702272692014</v>
      </c>
      <c r="P773" s="310">
        <f t="shared" ref="P773:P836" ca="1" si="366">MATCH(t-pas/2-T_ini,CdP_t)</f>
        <v>23</v>
      </c>
      <c r="Q773" s="304">
        <f t="shared" ref="Q773:Q836" ca="1" si="367">(INDEX(CdP,2,i_P+1)-INDEX(CdP,2,i_P+0))/(INDEX(CdP,1,i_P+1)-INDEX(CdP,1,i_P+0))*(t-pas/2-T_ini-INDEX(CdP,1,i_P+0))+INDEX(CdP,2,i_P+0)</f>
        <v>0</v>
      </c>
      <c r="R773" s="306">
        <f t="shared" ref="R773:R836" ca="1" si="368">Poussee/(g*ISP)</f>
        <v>0</v>
      </c>
      <c r="S773" s="307">
        <f t="shared" ref="S773:S836" ca="1" si="369">S772-Débit*pas</f>
        <v>7.9769999999999968</v>
      </c>
      <c r="T773" s="304">
        <f t="shared" ca="1" si="349"/>
        <v>78.254369999999966</v>
      </c>
      <c r="U773" s="311">
        <f t="shared" ca="1" si="350"/>
        <v>0</v>
      </c>
      <c r="V773" s="306">
        <f t="shared" ca="1" si="351"/>
        <v>1.2256647110745955</v>
      </c>
      <c r="W773" s="304">
        <f t="shared" ca="1" si="352"/>
        <v>59.223105293712869</v>
      </c>
      <c r="Y773" s="314" t="str">
        <f t="shared" ref="Y773:Y836" ca="1" si="370">IF(AND(pos_z&lt;=0,K772&gt;0),"Impact balistique","") &amp; IF(AND(H774&lt;0,vit_z&gt;=0),"Apogée","") &amp; IF(AND(Poussee=0,Q772&gt;0),"Fin de propulsion","") &amp; IF(AND(L774&gt;L_rampe,pos_xz&lt;=L_rampe),"Sortie de rampe","")</f>
        <v/>
      </c>
      <c r="Z773" s="315" t="str">
        <f t="shared" ref="Z773:Z836" ca="1" si="371">IF(ABS(t-T_para)&lt;pas/2,"Para","")</f>
        <v/>
      </c>
      <c r="AA773" s="316" t="str">
        <f t="shared" ref="AA773:AA836" ca="1" si="372">IF(ABS(t-T_satellite)&lt;pas/2,"Satellite","")</f>
        <v/>
      </c>
      <c r="AC773" s="310" t="e">
        <f t="shared" ref="AC773:AC836" ca="1" si="373">IF(ABS(t-ROUND(t,0))&lt;0.001,t,NA())</f>
        <v>#N/A</v>
      </c>
      <c r="AD773" s="323" t="e">
        <f t="shared" ref="AD773:AD836" ca="1" si="374">IF(ABS(t-ROUND(t,0))&lt;0.001,pos_x,NA())</f>
        <v>#N/A</v>
      </c>
      <c r="AE773" s="324" t="e">
        <f t="shared" ca="1" si="353"/>
        <v>#N/A</v>
      </c>
      <c r="AG773" s="306">
        <f t="shared" ref="AG773:AG836" ca="1" si="375">IF(AND(L772&lt;L_rampe,Poussee&lt;Poids*SIN(M772)),0,(-W772+Poussee)/m-Poids*SIN(M772)/m)</f>
        <v>2.3383932383838424</v>
      </c>
      <c r="AH773" s="304">
        <f t="shared" ref="AH773:AH836" ca="1" si="376">IF(AND(L772&lt;L_rampe,Poussee&lt;Poids*SIN(M772)), g*SIN(M772), (-W772+Poussee)/m)</f>
        <v>-7.4241951870138045</v>
      </c>
    </row>
    <row r="774" spans="1:34" x14ac:dyDescent="0.2">
      <c r="A774" s="347">
        <f t="shared" ca="1" si="354"/>
        <v>1E-4</v>
      </c>
      <c r="B774" s="304">
        <f t="shared" ca="1" si="355"/>
        <v>33.625400000001051</v>
      </c>
      <c r="D774" s="306">
        <f t="shared" ca="1" si="356"/>
        <v>-0.72902998599286728</v>
      </c>
      <c r="E774" s="307">
        <f t="shared" ca="1" si="357"/>
        <v>-2.4216477879056937</v>
      </c>
      <c r="F774" s="304">
        <f t="shared" ca="1" si="358"/>
        <v>2.529004295991863</v>
      </c>
      <c r="G774" s="306">
        <f t="shared" ca="1" si="359"/>
        <v>11.876379668723173</v>
      </c>
      <c r="H774" s="307">
        <f t="shared" ca="1" si="360"/>
        <v>-120.36211522355325</v>
      </c>
      <c r="I774" s="304">
        <f t="shared" ca="1" si="361"/>
        <v>120.9466294492061</v>
      </c>
      <c r="J774" s="306">
        <f t="shared" ca="1" si="362"/>
        <v>755.70453742140728</v>
      </c>
      <c r="K774" s="307">
        <f t="shared" ca="1" si="363"/>
        <v>-5.4367772632714306</v>
      </c>
      <c r="L774" s="304">
        <f t="shared" ca="1" si="348"/>
        <v>755.72409411524893</v>
      </c>
      <c r="M774" s="306">
        <f t="shared" ca="1" si="364"/>
        <v>-1.4724426235925285</v>
      </c>
      <c r="N774" s="304">
        <f t="shared" ca="1" si="365"/>
        <v>-84.364747907021979</v>
      </c>
      <c r="P774" s="310">
        <f t="shared" ca="1" si="366"/>
        <v>23</v>
      </c>
      <c r="Q774" s="304">
        <f t="shared" ca="1" si="367"/>
        <v>0</v>
      </c>
      <c r="R774" s="306">
        <f t="shared" ca="1" si="368"/>
        <v>0</v>
      </c>
      <c r="S774" s="307">
        <f t="shared" ca="1" si="369"/>
        <v>7.9769999999999968</v>
      </c>
      <c r="T774" s="304">
        <f t="shared" ca="1" si="349"/>
        <v>78.254369999999966</v>
      </c>
      <c r="U774" s="311">
        <f t="shared" ca="1" si="350"/>
        <v>0</v>
      </c>
      <c r="V774" s="306">
        <f t="shared" ca="1" si="351"/>
        <v>1.2256661863100802</v>
      </c>
      <c r="W774" s="304">
        <f t="shared" ca="1" si="352"/>
        <v>59.223405578228508</v>
      </c>
      <c r="Y774" s="314" t="str">
        <f t="shared" ca="1" si="370"/>
        <v/>
      </c>
      <c r="Z774" s="315" t="str">
        <f t="shared" ca="1" si="371"/>
        <v/>
      </c>
      <c r="AA774" s="316" t="str">
        <f t="shared" ca="1" si="372"/>
        <v/>
      </c>
      <c r="AC774" s="310" t="e">
        <f t="shared" ca="1" si="373"/>
        <v>#N/A</v>
      </c>
      <c r="AD774" s="323" t="e">
        <f t="shared" ca="1" si="374"/>
        <v>#N/A</v>
      </c>
      <c r="AE774" s="324" t="e">
        <f t="shared" ca="1" si="353"/>
        <v>#N/A</v>
      </c>
      <c r="AG774" s="306">
        <f t="shared" ca="1" si="375"/>
        <v>2.3383563615459906</v>
      </c>
      <c r="AH774" s="304">
        <f t="shared" ca="1" si="376"/>
        <v>-7.4242328311035344</v>
      </c>
    </row>
    <row r="775" spans="1:34" x14ac:dyDescent="0.2">
      <c r="A775" s="347">
        <f t="shared" ca="1" si="354"/>
        <v>1E-4</v>
      </c>
      <c r="B775" s="304">
        <f t="shared" ca="1" si="355"/>
        <v>33.625500000001054</v>
      </c>
      <c r="D775" s="306">
        <f t="shared" ca="1" si="356"/>
        <v>-0.72902779783674498</v>
      </c>
      <c r="E775" s="307">
        <f t="shared" ca="1" si="357"/>
        <v>-2.4216097453936287</v>
      </c>
      <c r="F775" s="304">
        <f t="shared" ca="1" si="358"/>
        <v>2.5289672376296397</v>
      </c>
      <c r="G775" s="306">
        <f t="shared" ca="1" si="359"/>
        <v>11.876306765943388</v>
      </c>
      <c r="H775" s="307">
        <f t="shared" ca="1" si="360"/>
        <v>-120.36235738452778</v>
      </c>
      <c r="I775" s="304">
        <f t="shared" ca="1" si="361"/>
        <v>120.94686328119296</v>
      </c>
      <c r="J775" s="306">
        <f t="shared" ca="1" si="362"/>
        <v>755.70453742140728</v>
      </c>
      <c r="K775" s="307">
        <f t="shared" ca="1" si="363"/>
        <v>-5.4488134869018348</v>
      </c>
      <c r="L775" s="304">
        <f t="shared" ca="1" si="348"/>
        <v>755.72418080124851</v>
      </c>
      <c r="M775" s="306">
        <f t="shared" ca="1" si="364"/>
        <v>-1.4724434200538696</v>
      </c>
      <c r="N775" s="304">
        <f t="shared" ca="1" si="365"/>
        <v>-84.364793540895377</v>
      </c>
      <c r="P775" s="310">
        <f t="shared" ca="1" si="366"/>
        <v>23</v>
      </c>
      <c r="Q775" s="304">
        <f t="shared" ca="1" si="367"/>
        <v>0</v>
      </c>
      <c r="R775" s="306">
        <f t="shared" ca="1" si="368"/>
        <v>0</v>
      </c>
      <c r="S775" s="307">
        <f t="shared" ca="1" si="369"/>
        <v>7.9769999999999968</v>
      </c>
      <c r="T775" s="304">
        <f t="shared" ca="1" si="349"/>
        <v>78.254369999999966</v>
      </c>
      <c r="U775" s="311">
        <f t="shared" ca="1" si="350"/>
        <v>0</v>
      </c>
      <c r="V775" s="306">
        <f t="shared" ca="1" si="351"/>
        <v>1.2256676615503086</v>
      </c>
      <c r="W775" s="304">
        <f t="shared" ca="1" si="352"/>
        <v>59.223705860355906</v>
      </c>
      <c r="Y775" s="314" t="str">
        <f t="shared" ca="1" si="370"/>
        <v/>
      </c>
      <c r="Z775" s="315" t="str">
        <f t="shared" ca="1" si="371"/>
        <v/>
      </c>
      <c r="AA775" s="316" t="str">
        <f t="shared" ca="1" si="372"/>
        <v/>
      </c>
      <c r="AC775" s="310" t="e">
        <f t="shared" ca="1" si="373"/>
        <v>#N/A</v>
      </c>
      <c r="AD775" s="323" t="e">
        <f t="shared" ca="1" si="374"/>
        <v>#N/A</v>
      </c>
      <c r="AE775" s="324" t="e">
        <f t="shared" ca="1" si="353"/>
        <v>#N/A</v>
      </c>
      <c r="AG775" s="306">
        <f t="shared" ca="1" si="375"/>
        <v>2.3383194849936464</v>
      </c>
      <c r="AH775" s="304">
        <f t="shared" ca="1" si="376"/>
        <v>-7.4242704748938868</v>
      </c>
    </row>
    <row r="776" spans="1:34" x14ac:dyDescent="0.2">
      <c r="A776" s="347">
        <f t="shared" ca="1" si="354"/>
        <v>1E-4</v>
      </c>
      <c r="B776" s="304">
        <f t="shared" ca="1" si="355"/>
        <v>33.625600000001057</v>
      </c>
      <c r="D776" s="306">
        <f t="shared" ca="1" si="356"/>
        <v>-0.72902560964996355</v>
      </c>
      <c r="E776" s="307">
        <f t="shared" ca="1" si="357"/>
        <v>-2.4215717031841173</v>
      </c>
      <c r="F776" s="304">
        <f t="shared" ca="1" si="358"/>
        <v>2.5289301795794064</v>
      </c>
      <c r="G776" s="306">
        <f t="shared" ca="1" si="359"/>
        <v>11.876233863382422</v>
      </c>
      <c r="H776" s="307">
        <f t="shared" ca="1" si="360"/>
        <v>-120.3625995416981</v>
      </c>
      <c r="I776" s="304">
        <f t="shared" ca="1" si="361"/>
        <v>120.94709710949219</v>
      </c>
      <c r="J776" s="306">
        <f t="shared" ca="1" si="362"/>
        <v>755.70453742140728</v>
      </c>
      <c r="K776" s="307">
        <f t="shared" ca="1" si="363"/>
        <v>-5.4608497347481464</v>
      </c>
      <c r="L776" s="304">
        <f t="shared" ca="1" si="348"/>
        <v>755.72426767911099</v>
      </c>
      <c r="M776" s="306">
        <f t="shared" ca="1" si="364"/>
        <v>-1.4724442165072422</v>
      </c>
      <c r="N776" s="304">
        <f t="shared" ca="1" si="365"/>
        <v>-84.364839174312195</v>
      </c>
      <c r="P776" s="310">
        <f t="shared" ca="1" si="366"/>
        <v>23</v>
      </c>
      <c r="Q776" s="304">
        <f t="shared" ca="1" si="367"/>
        <v>0</v>
      </c>
      <c r="R776" s="306">
        <f t="shared" ca="1" si="368"/>
        <v>0</v>
      </c>
      <c r="S776" s="307">
        <f t="shared" ca="1" si="369"/>
        <v>7.9769999999999968</v>
      </c>
      <c r="T776" s="304">
        <f t="shared" ca="1" si="349"/>
        <v>78.254369999999966</v>
      </c>
      <c r="U776" s="311">
        <f t="shared" ca="1" si="350"/>
        <v>0</v>
      </c>
      <c r="V776" s="306">
        <f t="shared" ca="1" si="351"/>
        <v>1.2256691367952812</v>
      </c>
      <c r="W776" s="304">
        <f t="shared" ca="1" si="352"/>
        <v>59.224006140095121</v>
      </c>
      <c r="Y776" s="314" t="str">
        <f t="shared" ca="1" si="370"/>
        <v/>
      </c>
      <c r="Z776" s="315" t="str">
        <f t="shared" ca="1" si="371"/>
        <v/>
      </c>
      <c r="AA776" s="316" t="str">
        <f t="shared" ca="1" si="372"/>
        <v/>
      </c>
      <c r="AC776" s="310" t="e">
        <f t="shared" ca="1" si="373"/>
        <v>#N/A</v>
      </c>
      <c r="AD776" s="323" t="e">
        <f t="shared" ca="1" si="374"/>
        <v>#N/A</v>
      </c>
      <c r="AE776" s="324" t="e">
        <f t="shared" ca="1" si="353"/>
        <v>#N/A</v>
      </c>
      <c r="AG776" s="306">
        <f t="shared" ca="1" si="375"/>
        <v>2.3382826087268223</v>
      </c>
      <c r="AH776" s="304">
        <f t="shared" ca="1" si="376"/>
        <v>-7.4243081183848476</v>
      </c>
    </row>
    <row r="777" spans="1:34" x14ac:dyDescent="0.2">
      <c r="A777" s="347">
        <f t="shared" ca="1" si="354"/>
        <v>1E-4</v>
      </c>
      <c r="B777" s="304">
        <f t="shared" ca="1" si="355"/>
        <v>33.625700000001061</v>
      </c>
      <c r="D777" s="306">
        <f t="shared" ca="1" si="356"/>
        <v>-0.72902342143252397</v>
      </c>
      <c r="E777" s="307">
        <f t="shared" ca="1" si="357"/>
        <v>-2.4215336612771496</v>
      </c>
      <c r="F777" s="304">
        <f t="shared" ca="1" si="358"/>
        <v>2.5288931218411546</v>
      </c>
      <c r="G777" s="306">
        <f t="shared" ca="1" si="359"/>
        <v>11.876160961040279</v>
      </c>
      <c r="H777" s="307">
        <f t="shared" ca="1" si="360"/>
        <v>-120.36284169506423</v>
      </c>
      <c r="I777" s="304">
        <f t="shared" ca="1" si="361"/>
        <v>120.94733093410383</v>
      </c>
      <c r="J777" s="306">
        <f t="shared" ca="1" si="362"/>
        <v>755.70453742140728</v>
      </c>
      <c r="K777" s="307">
        <f t="shared" ca="1" si="363"/>
        <v>-5.4728860068099845</v>
      </c>
      <c r="L777" s="304">
        <f t="shared" ca="1" si="348"/>
        <v>755.72435474883741</v>
      </c>
      <c r="M777" s="306">
        <f t="shared" ca="1" si="364"/>
        <v>-1.4724450129526463</v>
      </c>
      <c r="N777" s="304">
        <f t="shared" ca="1" si="365"/>
        <v>-84.36488480727246</v>
      </c>
      <c r="P777" s="310">
        <f t="shared" ca="1" si="366"/>
        <v>23</v>
      </c>
      <c r="Q777" s="304">
        <f t="shared" ca="1" si="367"/>
        <v>0</v>
      </c>
      <c r="R777" s="306">
        <f t="shared" ca="1" si="368"/>
        <v>0</v>
      </c>
      <c r="S777" s="307">
        <f t="shared" ca="1" si="369"/>
        <v>7.9769999999999968</v>
      </c>
      <c r="T777" s="304">
        <f t="shared" ca="1" si="349"/>
        <v>78.254369999999966</v>
      </c>
      <c r="U777" s="311">
        <f t="shared" ca="1" si="350"/>
        <v>0</v>
      </c>
      <c r="V777" s="306">
        <f t="shared" ca="1" si="351"/>
        <v>1.2256706120449983</v>
      </c>
      <c r="W777" s="304">
        <f t="shared" ca="1" si="352"/>
        <v>59.22430641744613</v>
      </c>
      <c r="Y777" s="314" t="str">
        <f t="shared" ca="1" si="370"/>
        <v/>
      </c>
      <c r="Z777" s="315" t="str">
        <f t="shared" ca="1" si="371"/>
        <v/>
      </c>
      <c r="AA777" s="316" t="str">
        <f t="shared" ca="1" si="372"/>
        <v/>
      </c>
      <c r="AC777" s="310" t="e">
        <f t="shared" ca="1" si="373"/>
        <v>#N/A</v>
      </c>
      <c r="AD777" s="323" t="e">
        <f t="shared" ca="1" si="374"/>
        <v>#N/A</v>
      </c>
      <c r="AE777" s="324" t="e">
        <f t="shared" ca="1" si="353"/>
        <v>#N/A</v>
      </c>
      <c r="AG777" s="306">
        <f t="shared" ca="1" si="375"/>
        <v>2.3382457327455164</v>
      </c>
      <c r="AH777" s="304">
        <f t="shared" ca="1" si="376"/>
        <v>-7.4243457615764257</v>
      </c>
    </row>
    <row r="778" spans="1:34" x14ac:dyDescent="0.2">
      <c r="A778" s="347">
        <f t="shared" ca="1" si="354"/>
        <v>1E-4</v>
      </c>
      <c r="B778" s="304">
        <f t="shared" ca="1" si="355"/>
        <v>33.625800000001064</v>
      </c>
      <c r="D778" s="306">
        <f t="shared" ca="1" si="356"/>
        <v>-0.72902123318442724</v>
      </c>
      <c r="E778" s="307">
        <f t="shared" ca="1" si="357"/>
        <v>-2.4214956196727302</v>
      </c>
      <c r="F778" s="304">
        <f t="shared" ca="1" si="358"/>
        <v>2.5288560644148892</v>
      </c>
      <c r="G778" s="306">
        <f t="shared" ca="1" si="359"/>
        <v>11.876088058916961</v>
      </c>
      <c r="H778" s="307">
        <f t="shared" ca="1" si="360"/>
        <v>-120.3630838446262</v>
      </c>
      <c r="I778" s="304">
        <f t="shared" ca="1" si="361"/>
        <v>120.9475647550279</v>
      </c>
      <c r="J778" s="306">
        <f t="shared" ca="1" si="362"/>
        <v>755.70453742140728</v>
      </c>
      <c r="K778" s="307">
        <f t="shared" ca="1" si="363"/>
        <v>-5.4849223030869689</v>
      </c>
      <c r="L778" s="304">
        <f t="shared" ca="1" si="348"/>
        <v>755.72444201042879</v>
      </c>
      <c r="M778" s="306">
        <f t="shared" ca="1" si="364"/>
        <v>-1.4724458093900816</v>
      </c>
      <c r="N778" s="304">
        <f t="shared" ca="1" si="365"/>
        <v>-84.36493043977616</v>
      </c>
      <c r="P778" s="310">
        <f t="shared" ca="1" si="366"/>
        <v>23</v>
      </c>
      <c r="Q778" s="304">
        <f t="shared" ca="1" si="367"/>
        <v>0</v>
      </c>
      <c r="R778" s="306">
        <f t="shared" ca="1" si="368"/>
        <v>0</v>
      </c>
      <c r="S778" s="307">
        <f t="shared" ca="1" si="369"/>
        <v>7.9769999999999968</v>
      </c>
      <c r="T778" s="304">
        <f t="shared" ca="1" si="349"/>
        <v>78.254369999999966</v>
      </c>
      <c r="U778" s="311">
        <f t="shared" ca="1" si="350"/>
        <v>0</v>
      </c>
      <c r="V778" s="306">
        <f t="shared" ca="1" si="351"/>
        <v>1.2256720872994593</v>
      </c>
      <c r="W778" s="304">
        <f t="shared" ca="1" si="352"/>
        <v>59.22460669240894</v>
      </c>
      <c r="Y778" s="314" t="str">
        <f t="shared" ca="1" si="370"/>
        <v/>
      </c>
      <c r="Z778" s="315" t="str">
        <f t="shared" ca="1" si="371"/>
        <v/>
      </c>
      <c r="AA778" s="316" t="str">
        <f t="shared" ca="1" si="372"/>
        <v/>
      </c>
      <c r="AC778" s="310" t="e">
        <f t="shared" ca="1" si="373"/>
        <v>#N/A</v>
      </c>
      <c r="AD778" s="323" t="e">
        <f t="shared" ca="1" si="374"/>
        <v>#N/A</v>
      </c>
      <c r="AE778" s="324" t="e">
        <f t="shared" ca="1" si="353"/>
        <v>#N/A</v>
      </c>
      <c r="AG778" s="306">
        <f t="shared" ca="1" si="375"/>
        <v>2.3382088570497261</v>
      </c>
      <c r="AH778" s="304">
        <f t="shared" ca="1" si="376"/>
        <v>-7.4243834044686166</v>
      </c>
    </row>
    <row r="779" spans="1:34" x14ac:dyDescent="0.2">
      <c r="A779" s="347">
        <f t="shared" ca="1" si="354"/>
        <v>1E-4</v>
      </c>
      <c r="B779" s="304">
        <f t="shared" ca="1" si="355"/>
        <v>33.625900000001067</v>
      </c>
      <c r="D779" s="306">
        <f t="shared" ca="1" si="356"/>
        <v>-0.72901904490567704</v>
      </c>
      <c r="E779" s="307">
        <f t="shared" ca="1" si="357"/>
        <v>-2.4214575783708581</v>
      </c>
      <c r="F779" s="304">
        <f t="shared" ca="1" si="358"/>
        <v>2.5288190073006107</v>
      </c>
      <c r="G779" s="306">
        <f t="shared" ca="1" si="359"/>
        <v>11.876015157012471</v>
      </c>
      <c r="H779" s="307">
        <f t="shared" ca="1" si="360"/>
        <v>-120.36332599038404</v>
      </c>
      <c r="I779" s="304">
        <f t="shared" ca="1" si="361"/>
        <v>120.94779857226443</v>
      </c>
      <c r="J779" s="306">
        <f t="shared" ca="1" si="362"/>
        <v>755.70453742140728</v>
      </c>
      <c r="K779" s="307">
        <f t="shared" ca="1" si="363"/>
        <v>-5.4969586235787196</v>
      </c>
      <c r="L779" s="304">
        <f t="shared" ca="1" si="348"/>
        <v>755.72452946388637</v>
      </c>
      <c r="M779" s="306">
        <f t="shared" ca="1" si="364"/>
        <v>-1.4724466058195489</v>
      </c>
      <c r="N779" s="304">
        <f t="shared" ca="1" si="365"/>
        <v>-84.364976071823307</v>
      </c>
      <c r="P779" s="310">
        <f t="shared" ca="1" si="366"/>
        <v>23</v>
      </c>
      <c r="Q779" s="304">
        <f t="shared" ca="1" si="367"/>
        <v>0</v>
      </c>
      <c r="R779" s="306">
        <f t="shared" ca="1" si="368"/>
        <v>0</v>
      </c>
      <c r="S779" s="307">
        <f t="shared" ca="1" si="369"/>
        <v>7.9769999999999968</v>
      </c>
      <c r="T779" s="304">
        <f t="shared" ca="1" si="349"/>
        <v>78.254369999999966</v>
      </c>
      <c r="U779" s="311">
        <f t="shared" ca="1" si="350"/>
        <v>0</v>
      </c>
      <c r="V779" s="306">
        <f t="shared" ca="1" si="351"/>
        <v>1.2256735625586641</v>
      </c>
      <c r="W779" s="304">
        <f t="shared" ca="1" si="352"/>
        <v>59.224906964983539</v>
      </c>
      <c r="Y779" s="314" t="str">
        <f t="shared" ca="1" si="370"/>
        <v/>
      </c>
      <c r="Z779" s="315" t="str">
        <f t="shared" ca="1" si="371"/>
        <v/>
      </c>
      <c r="AA779" s="316" t="str">
        <f t="shared" ca="1" si="372"/>
        <v/>
      </c>
      <c r="AC779" s="310" t="e">
        <f t="shared" ca="1" si="373"/>
        <v>#N/A</v>
      </c>
      <c r="AD779" s="323" t="e">
        <f t="shared" ca="1" si="374"/>
        <v>#N/A</v>
      </c>
      <c r="AE779" s="324" t="e">
        <f t="shared" ca="1" si="353"/>
        <v>#N/A</v>
      </c>
      <c r="AG779" s="306">
        <f t="shared" ca="1" si="375"/>
        <v>2.3381719816394533</v>
      </c>
      <c r="AH779" s="304">
        <f t="shared" ca="1" si="376"/>
        <v>-7.424421047061422</v>
      </c>
    </row>
    <row r="780" spans="1:34" x14ac:dyDescent="0.2">
      <c r="A780" s="347">
        <f t="shared" ca="1" si="354"/>
        <v>1E-4</v>
      </c>
      <c r="B780" s="304">
        <f t="shared" ca="1" si="355"/>
        <v>33.626000000001071</v>
      </c>
      <c r="D780" s="306">
        <f t="shared" ca="1" si="356"/>
        <v>-0.72901685659626969</v>
      </c>
      <c r="E780" s="307">
        <f t="shared" ca="1" si="357"/>
        <v>-2.4214195373715341</v>
      </c>
      <c r="F780" s="304">
        <f t="shared" ca="1" si="358"/>
        <v>2.5287819504983187</v>
      </c>
      <c r="G780" s="306">
        <f t="shared" ca="1" si="359"/>
        <v>11.875942255326812</v>
      </c>
      <c r="H780" s="307">
        <f t="shared" ca="1" si="360"/>
        <v>-120.36356813233778</v>
      </c>
      <c r="I780" s="304">
        <f t="shared" ca="1" si="361"/>
        <v>120.94803238581343</v>
      </c>
      <c r="J780" s="306">
        <f t="shared" ca="1" si="362"/>
        <v>755.70453742140728</v>
      </c>
      <c r="K780" s="307">
        <f t="shared" ca="1" si="363"/>
        <v>-5.5089949682848554</v>
      </c>
      <c r="L780" s="304">
        <f t="shared" ca="1" si="348"/>
        <v>755.72461710921107</v>
      </c>
      <c r="M780" s="306">
        <f t="shared" ca="1" si="364"/>
        <v>-1.4724474022410479</v>
      </c>
      <c r="N780" s="304">
        <f t="shared" ca="1" si="365"/>
        <v>-84.365021703413916</v>
      </c>
      <c r="P780" s="310">
        <f t="shared" ca="1" si="366"/>
        <v>23</v>
      </c>
      <c r="Q780" s="304">
        <f t="shared" ca="1" si="367"/>
        <v>0</v>
      </c>
      <c r="R780" s="306">
        <f t="shared" ca="1" si="368"/>
        <v>0</v>
      </c>
      <c r="S780" s="307">
        <f t="shared" ca="1" si="369"/>
        <v>7.9769999999999968</v>
      </c>
      <c r="T780" s="304">
        <f t="shared" ca="1" si="349"/>
        <v>78.254369999999966</v>
      </c>
      <c r="U780" s="311">
        <f t="shared" ca="1" si="350"/>
        <v>0</v>
      </c>
      <c r="V780" s="306">
        <f t="shared" ca="1" si="351"/>
        <v>1.2256750378226133</v>
      </c>
      <c r="W780" s="304">
        <f t="shared" ca="1" si="352"/>
        <v>59.225207235169911</v>
      </c>
      <c r="Y780" s="314" t="str">
        <f t="shared" ca="1" si="370"/>
        <v/>
      </c>
      <c r="Z780" s="315" t="str">
        <f t="shared" ca="1" si="371"/>
        <v/>
      </c>
      <c r="AA780" s="316" t="str">
        <f t="shared" ca="1" si="372"/>
        <v/>
      </c>
      <c r="AC780" s="310" t="e">
        <f t="shared" ca="1" si="373"/>
        <v>#N/A</v>
      </c>
      <c r="AD780" s="323" t="e">
        <f t="shared" ca="1" si="374"/>
        <v>#N/A</v>
      </c>
      <c r="AE780" s="324" t="e">
        <f t="shared" ca="1" si="353"/>
        <v>#N/A</v>
      </c>
      <c r="AG780" s="306">
        <f t="shared" ca="1" si="375"/>
        <v>2.3381351065146978</v>
      </c>
      <c r="AH780" s="304">
        <f t="shared" ca="1" si="376"/>
        <v>-7.4244586893548403</v>
      </c>
    </row>
    <row r="781" spans="1:34" x14ac:dyDescent="0.2">
      <c r="A781" s="347">
        <f t="shared" ca="1" si="354"/>
        <v>1E-4</v>
      </c>
      <c r="B781" s="304">
        <f t="shared" ca="1" si="355"/>
        <v>33.626100000001074</v>
      </c>
      <c r="D781" s="306">
        <f t="shared" ca="1" si="356"/>
        <v>-0.72901466825620842</v>
      </c>
      <c r="E781" s="307">
        <f t="shared" ca="1" si="357"/>
        <v>-2.4213814966747602</v>
      </c>
      <c r="F781" s="304">
        <f t="shared" ca="1" si="358"/>
        <v>2.5287448940080157</v>
      </c>
      <c r="G781" s="306">
        <f t="shared" ca="1" si="359"/>
        <v>11.875869353859986</v>
      </c>
      <c r="H781" s="307">
        <f t="shared" ca="1" si="360"/>
        <v>-120.36381027048745</v>
      </c>
      <c r="I781" s="304">
        <f t="shared" ca="1" si="361"/>
        <v>120.94826619567496</v>
      </c>
      <c r="J781" s="306">
        <f t="shared" ca="1" si="362"/>
        <v>755.70453742140728</v>
      </c>
      <c r="K781" s="307">
        <f t="shared" ca="1" si="363"/>
        <v>-5.5210313372049971</v>
      </c>
      <c r="L781" s="304">
        <f t="shared" ca="1" si="348"/>
        <v>755.72470494640413</v>
      </c>
      <c r="M781" s="306">
        <f t="shared" ca="1" si="364"/>
        <v>-1.4724481986545788</v>
      </c>
      <c r="N781" s="304">
        <f t="shared" ca="1" si="365"/>
        <v>-84.365067334547987</v>
      </c>
      <c r="P781" s="310">
        <f t="shared" ca="1" si="366"/>
        <v>23</v>
      </c>
      <c r="Q781" s="304">
        <f t="shared" ca="1" si="367"/>
        <v>0</v>
      </c>
      <c r="R781" s="306">
        <f t="shared" ca="1" si="368"/>
        <v>0</v>
      </c>
      <c r="S781" s="307">
        <f t="shared" ca="1" si="369"/>
        <v>7.9769999999999968</v>
      </c>
      <c r="T781" s="304">
        <f t="shared" ca="1" si="349"/>
        <v>78.254369999999966</v>
      </c>
      <c r="U781" s="311">
        <f t="shared" ca="1" si="350"/>
        <v>0</v>
      </c>
      <c r="V781" s="306">
        <f t="shared" ca="1" si="351"/>
        <v>1.2256765130913065</v>
      </c>
      <c r="W781" s="304">
        <f t="shared" ca="1" si="352"/>
        <v>59.225507502968064</v>
      </c>
      <c r="Y781" s="314" t="str">
        <f t="shared" ca="1" si="370"/>
        <v/>
      </c>
      <c r="Z781" s="315" t="str">
        <f t="shared" ca="1" si="371"/>
        <v/>
      </c>
      <c r="AA781" s="316" t="str">
        <f t="shared" ca="1" si="372"/>
        <v/>
      </c>
      <c r="AC781" s="310" t="e">
        <f t="shared" ca="1" si="373"/>
        <v>#N/A</v>
      </c>
      <c r="AD781" s="323" t="e">
        <f t="shared" ca="1" si="374"/>
        <v>#N/A</v>
      </c>
      <c r="AE781" s="324" t="e">
        <f t="shared" ca="1" si="353"/>
        <v>#N/A</v>
      </c>
      <c r="AG781" s="306">
        <f t="shared" ca="1" si="375"/>
        <v>2.3380982316754668</v>
      </c>
      <c r="AH781" s="304">
        <f t="shared" ca="1" si="376"/>
        <v>-7.4244963313488697</v>
      </c>
    </row>
    <row r="782" spans="1:34" x14ac:dyDescent="0.2">
      <c r="A782" s="347">
        <f t="shared" ca="1" si="354"/>
        <v>1E-4</v>
      </c>
      <c r="B782" s="304">
        <f t="shared" ca="1" si="355"/>
        <v>33.626200000001077</v>
      </c>
      <c r="D782" s="306">
        <f t="shared" ca="1" si="356"/>
        <v>-0.72901247988549311</v>
      </c>
      <c r="E782" s="307">
        <f t="shared" ca="1" si="357"/>
        <v>-2.4213434562805363</v>
      </c>
      <c r="F782" s="304">
        <f t="shared" ca="1" si="358"/>
        <v>2.5287078378297028</v>
      </c>
      <c r="G782" s="306">
        <f t="shared" ca="1" si="359"/>
        <v>11.875796452611997</v>
      </c>
      <c r="H782" s="307">
        <f t="shared" ca="1" si="360"/>
        <v>-120.36405240483307</v>
      </c>
      <c r="I782" s="304">
        <f t="shared" ca="1" si="361"/>
        <v>120.94850000184903</v>
      </c>
      <c r="J782" s="306">
        <f t="shared" ca="1" si="362"/>
        <v>755.70453742140728</v>
      </c>
      <c r="K782" s="307">
        <f t="shared" ca="1" si="363"/>
        <v>-5.5330677303387628</v>
      </c>
      <c r="L782" s="304">
        <f t="shared" ca="1" si="348"/>
        <v>755.72479297546647</v>
      </c>
      <c r="M782" s="306">
        <f t="shared" ca="1" si="364"/>
        <v>-1.4724489950601418</v>
      </c>
      <c r="N782" s="304">
        <f t="shared" ca="1" si="365"/>
        <v>-84.365112965225535</v>
      </c>
      <c r="P782" s="310">
        <f t="shared" ca="1" si="366"/>
        <v>23</v>
      </c>
      <c r="Q782" s="304">
        <f t="shared" ca="1" si="367"/>
        <v>0</v>
      </c>
      <c r="R782" s="306">
        <f t="shared" ca="1" si="368"/>
        <v>0</v>
      </c>
      <c r="S782" s="307">
        <f t="shared" ca="1" si="369"/>
        <v>7.9769999999999968</v>
      </c>
      <c r="T782" s="304">
        <f t="shared" ca="1" si="349"/>
        <v>78.254369999999966</v>
      </c>
      <c r="U782" s="311">
        <f t="shared" ca="1" si="350"/>
        <v>0</v>
      </c>
      <c r="V782" s="306">
        <f t="shared" ca="1" si="351"/>
        <v>1.2256779883647437</v>
      </c>
      <c r="W782" s="304">
        <f t="shared" ca="1" si="352"/>
        <v>59.225807768378012</v>
      </c>
      <c r="Y782" s="314" t="str">
        <f t="shared" ca="1" si="370"/>
        <v/>
      </c>
      <c r="Z782" s="315" t="str">
        <f t="shared" ca="1" si="371"/>
        <v/>
      </c>
      <c r="AA782" s="316" t="str">
        <f t="shared" ca="1" si="372"/>
        <v/>
      </c>
      <c r="AC782" s="310" t="e">
        <f t="shared" ca="1" si="373"/>
        <v>#N/A</v>
      </c>
      <c r="AD782" s="323" t="e">
        <f t="shared" ca="1" si="374"/>
        <v>#N/A</v>
      </c>
      <c r="AE782" s="324" t="e">
        <f t="shared" ca="1" si="353"/>
        <v>#N/A</v>
      </c>
      <c r="AG782" s="306">
        <f t="shared" ca="1" si="375"/>
        <v>2.3380613571217541</v>
      </c>
      <c r="AH782" s="304">
        <f t="shared" ca="1" si="376"/>
        <v>-7.4245339730435109</v>
      </c>
    </row>
    <row r="783" spans="1:34" x14ac:dyDescent="0.2">
      <c r="A783" s="347">
        <f t="shared" ca="1" si="354"/>
        <v>1E-4</v>
      </c>
      <c r="B783" s="304">
        <f t="shared" ca="1" si="355"/>
        <v>33.626300000001081</v>
      </c>
      <c r="D783" s="306">
        <f t="shared" ca="1" si="356"/>
        <v>-0.72901029148412411</v>
      </c>
      <c r="E783" s="307">
        <f t="shared" ca="1" si="357"/>
        <v>-2.4213054161888588</v>
      </c>
      <c r="F783" s="304">
        <f t="shared" ca="1" si="358"/>
        <v>2.5286707819633758</v>
      </c>
      <c r="G783" s="306">
        <f t="shared" ca="1" si="359"/>
        <v>11.875723551582849</v>
      </c>
      <c r="H783" s="307">
        <f t="shared" ca="1" si="360"/>
        <v>-120.3642945353747</v>
      </c>
      <c r="I783" s="304">
        <f t="shared" ca="1" si="361"/>
        <v>120.94873380433567</v>
      </c>
      <c r="J783" s="306">
        <f t="shared" ca="1" si="362"/>
        <v>755.70453742140728</v>
      </c>
      <c r="K783" s="307">
        <f t="shared" ca="1" si="363"/>
        <v>-5.5451041476857732</v>
      </c>
      <c r="L783" s="304">
        <f t="shared" ca="1" si="348"/>
        <v>755.72488119639934</v>
      </c>
      <c r="M783" s="306">
        <f t="shared" ca="1" si="364"/>
        <v>-1.4724497914577368</v>
      </c>
      <c r="N783" s="304">
        <f t="shared" ca="1" si="365"/>
        <v>-84.36515859544653</v>
      </c>
      <c r="P783" s="310">
        <f t="shared" ca="1" si="366"/>
        <v>23</v>
      </c>
      <c r="Q783" s="304">
        <f t="shared" ca="1" si="367"/>
        <v>0</v>
      </c>
      <c r="R783" s="306">
        <f t="shared" ca="1" si="368"/>
        <v>0</v>
      </c>
      <c r="S783" s="307">
        <f t="shared" ca="1" si="369"/>
        <v>7.9769999999999968</v>
      </c>
      <c r="T783" s="304">
        <f t="shared" ca="1" si="349"/>
        <v>78.254369999999966</v>
      </c>
      <c r="U783" s="311">
        <f t="shared" ca="1" si="350"/>
        <v>0</v>
      </c>
      <c r="V783" s="306">
        <f t="shared" ca="1" si="351"/>
        <v>1.2256794636429247</v>
      </c>
      <c r="W783" s="304">
        <f t="shared" ca="1" si="352"/>
        <v>59.226108031399718</v>
      </c>
      <c r="Y783" s="314" t="str">
        <f t="shared" ca="1" si="370"/>
        <v/>
      </c>
      <c r="Z783" s="315" t="str">
        <f t="shared" ca="1" si="371"/>
        <v/>
      </c>
      <c r="AA783" s="316" t="str">
        <f t="shared" ca="1" si="372"/>
        <v/>
      </c>
      <c r="AC783" s="310" t="e">
        <f t="shared" ca="1" si="373"/>
        <v>#N/A</v>
      </c>
      <c r="AD783" s="323" t="e">
        <f t="shared" ca="1" si="374"/>
        <v>#N/A</v>
      </c>
      <c r="AE783" s="324" t="e">
        <f t="shared" ca="1" si="353"/>
        <v>#N/A</v>
      </c>
      <c r="AG783" s="306">
        <f t="shared" ca="1" si="375"/>
        <v>2.3380244828535615</v>
      </c>
      <c r="AH783" s="304">
        <f t="shared" ca="1" si="376"/>
        <v>-7.4245716144387659</v>
      </c>
    </row>
    <row r="784" spans="1:34" x14ac:dyDescent="0.2">
      <c r="A784" s="347">
        <f t="shared" ca="1" si="354"/>
        <v>1E-4</v>
      </c>
      <c r="B784" s="304">
        <f t="shared" ca="1" si="355"/>
        <v>33.626400000001084</v>
      </c>
      <c r="D784" s="306">
        <f t="shared" ca="1" si="356"/>
        <v>-0.72900810305210406</v>
      </c>
      <c r="E784" s="307">
        <f t="shared" ca="1" si="357"/>
        <v>-2.4212673763997348</v>
      </c>
      <c r="F784" s="304">
        <f t="shared" ca="1" si="358"/>
        <v>2.5286337264090428</v>
      </c>
      <c r="G784" s="306">
        <f t="shared" ca="1" si="359"/>
        <v>11.875650650772544</v>
      </c>
      <c r="H784" s="307">
        <f t="shared" ca="1" si="360"/>
        <v>-120.36453666211234</v>
      </c>
      <c r="I784" s="304">
        <f t="shared" ca="1" si="361"/>
        <v>120.94896760313492</v>
      </c>
      <c r="J784" s="306">
        <f t="shared" ca="1" si="362"/>
        <v>755.70453742140728</v>
      </c>
      <c r="K784" s="307">
        <f t="shared" ca="1" si="363"/>
        <v>-5.5571405892456474</v>
      </c>
      <c r="L784" s="304">
        <f t="shared" ca="1" si="348"/>
        <v>755.72496960920375</v>
      </c>
      <c r="M784" s="306">
        <f t="shared" ca="1" si="364"/>
        <v>-1.4724505878473642</v>
      </c>
      <c r="N784" s="304">
        <f t="shared" ca="1" si="365"/>
        <v>-84.365204225211031</v>
      </c>
      <c r="P784" s="310">
        <f t="shared" ca="1" si="366"/>
        <v>23</v>
      </c>
      <c r="Q784" s="304">
        <f t="shared" ca="1" si="367"/>
        <v>0</v>
      </c>
      <c r="R784" s="306">
        <f t="shared" ca="1" si="368"/>
        <v>0</v>
      </c>
      <c r="S784" s="307">
        <f t="shared" ca="1" si="369"/>
        <v>7.9769999999999968</v>
      </c>
      <c r="T784" s="304">
        <f t="shared" ca="1" si="349"/>
        <v>78.254369999999966</v>
      </c>
      <c r="U784" s="311">
        <f t="shared" ca="1" si="350"/>
        <v>0</v>
      </c>
      <c r="V784" s="306">
        <f t="shared" ca="1" si="351"/>
        <v>1.2256809389258498</v>
      </c>
      <c r="W784" s="304">
        <f t="shared" ca="1" si="352"/>
        <v>59.226408292033213</v>
      </c>
      <c r="Y784" s="314" t="str">
        <f t="shared" ca="1" si="370"/>
        <v/>
      </c>
      <c r="Z784" s="315" t="str">
        <f t="shared" ca="1" si="371"/>
        <v/>
      </c>
      <c r="AA784" s="316" t="str">
        <f t="shared" ca="1" si="372"/>
        <v/>
      </c>
      <c r="AC784" s="310" t="e">
        <f t="shared" ca="1" si="373"/>
        <v>#N/A</v>
      </c>
      <c r="AD784" s="323" t="e">
        <f t="shared" ca="1" si="374"/>
        <v>#N/A</v>
      </c>
      <c r="AE784" s="324" t="e">
        <f t="shared" ca="1" si="353"/>
        <v>#N/A</v>
      </c>
      <c r="AG784" s="306">
        <f t="shared" ca="1" si="375"/>
        <v>2.3379876088708933</v>
      </c>
      <c r="AH784" s="304">
        <f t="shared" ca="1" si="376"/>
        <v>-7.4246092555346301</v>
      </c>
    </row>
    <row r="785" spans="1:34" x14ac:dyDescent="0.2">
      <c r="A785" s="347">
        <f t="shared" ca="1" si="354"/>
        <v>1E-4</v>
      </c>
      <c r="B785" s="304">
        <f t="shared" ca="1" si="355"/>
        <v>33.626500000001087</v>
      </c>
      <c r="D785" s="306">
        <f t="shared" ca="1" si="356"/>
        <v>-0.72900591458943176</v>
      </c>
      <c r="E785" s="307">
        <f t="shared" ca="1" si="357"/>
        <v>-2.4212293369131599</v>
      </c>
      <c r="F785" s="304">
        <f t="shared" ca="1" si="358"/>
        <v>2.5285966711666994</v>
      </c>
      <c r="G785" s="306">
        <f t="shared" ca="1" si="359"/>
        <v>11.875577750181085</v>
      </c>
      <c r="H785" s="307">
        <f t="shared" ca="1" si="360"/>
        <v>-120.36477878504603</v>
      </c>
      <c r="I785" s="304">
        <f t="shared" ca="1" si="361"/>
        <v>120.94920139824679</v>
      </c>
      <c r="J785" s="306">
        <f t="shared" ca="1" si="362"/>
        <v>755.70453742140728</v>
      </c>
      <c r="K785" s="307">
        <f t="shared" ca="1" si="363"/>
        <v>-5.5691770550180051</v>
      </c>
      <c r="L785" s="304">
        <f t="shared" ca="1" si="348"/>
        <v>755.72505821388063</v>
      </c>
      <c r="M785" s="306">
        <f t="shared" ca="1" si="364"/>
        <v>-1.4724513842290241</v>
      </c>
      <c r="N785" s="304">
        <f t="shared" ca="1" si="365"/>
        <v>-84.365249854519021</v>
      </c>
      <c r="P785" s="310">
        <f t="shared" ca="1" si="366"/>
        <v>23</v>
      </c>
      <c r="Q785" s="304">
        <f t="shared" ca="1" si="367"/>
        <v>0</v>
      </c>
      <c r="R785" s="306">
        <f t="shared" ca="1" si="368"/>
        <v>0</v>
      </c>
      <c r="S785" s="307">
        <f t="shared" ca="1" si="369"/>
        <v>7.9769999999999968</v>
      </c>
      <c r="T785" s="304">
        <f t="shared" ca="1" si="349"/>
        <v>78.254369999999966</v>
      </c>
      <c r="U785" s="311">
        <f t="shared" ca="1" si="350"/>
        <v>0</v>
      </c>
      <c r="V785" s="306">
        <f t="shared" ca="1" si="351"/>
        <v>1.2256824142135188</v>
      </c>
      <c r="W785" s="304">
        <f t="shared" ca="1" si="352"/>
        <v>59.226708550278474</v>
      </c>
      <c r="Y785" s="314" t="str">
        <f t="shared" ca="1" si="370"/>
        <v/>
      </c>
      <c r="Z785" s="315" t="str">
        <f t="shared" ca="1" si="371"/>
        <v/>
      </c>
      <c r="AA785" s="316" t="str">
        <f t="shared" ca="1" si="372"/>
        <v/>
      </c>
      <c r="AC785" s="310" t="e">
        <f t="shared" ca="1" si="373"/>
        <v>#N/A</v>
      </c>
      <c r="AD785" s="323" t="e">
        <f t="shared" ca="1" si="374"/>
        <v>#N/A</v>
      </c>
      <c r="AE785" s="324" t="e">
        <f t="shared" ca="1" si="353"/>
        <v>#N/A</v>
      </c>
      <c r="AG785" s="306">
        <f t="shared" ca="1" si="375"/>
        <v>2.3379507351737452</v>
      </c>
      <c r="AH785" s="304">
        <f t="shared" ca="1" si="376"/>
        <v>-7.4246468963311063</v>
      </c>
    </row>
    <row r="786" spans="1:34" x14ac:dyDescent="0.2">
      <c r="A786" s="347">
        <f t="shared" ca="1" si="354"/>
        <v>1E-4</v>
      </c>
      <c r="B786" s="304">
        <f t="shared" ca="1" si="355"/>
        <v>33.626600000001091</v>
      </c>
      <c r="D786" s="306">
        <f t="shared" ca="1" si="356"/>
        <v>-0.72900372609610697</v>
      </c>
      <c r="E786" s="307">
        <f t="shared" ca="1" si="357"/>
        <v>-2.4211912977291341</v>
      </c>
      <c r="F786" s="304">
        <f t="shared" ca="1" si="358"/>
        <v>2.528559616236346</v>
      </c>
      <c r="G786" s="306">
        <f t="shared" ca="1" si="359"/>
        <v>11.875504849808475</v>
      </c>
      <c r="H786" s="307">
        <f t="shared" ca="1" si="360"/>
        <v>-120.36502090417581</v>
      </c>
      <c r="I786" s="304">
        <f t="shared" ca="1" si="361"/>
        <v>120.94943518967132</v>
      </c>
      <c r="J786" s="306">
        <f t="shared" ca="1" si="362"/>
        <v>755.70453742140728</v>
      </c>
      <c r="K786" s="307">
        <f t="shared" ca="1" si="363"/>
        <v>-5.5812135450024662</v>
      </c>
      <c r="L786" s="304">
        <f t="shared" ca="1" si="348"/>
        <v>755.72514701043133</v>
      </c>
      <c r="M786" s="306">
        <f t="shared" ca="1" si="364"/>
        <v>-1.4724521806027164</v>
      </c>
      <c r="N786" s="304">
        <f t="shared" ca="1" si="365"/>
        <v>-84.365295483370517</v>
      </c>
      <c r="P786" s="310">
        <f t="shared" ca="1" si="366"/>
        <v>23</v>
      </c>
      <c r="Q786" s="304">
        <f t="shared" ca="1" si="367"/>
        <v>0</v>
      </c>
      <c r="R786" s="306">
        <f t="shared" ca="1" si="368"/>
        <v>0</v>
      </c>
      <c r="S786" s="307">
        <f t="shared" ca="1" si="369"/>
        <v>7.9769999999999968</v>
      </c>
      <c r="T786" s="304">
        <f t="shared" ca="1" si="349"/>
        <v>78.254369999999966</v>
      </c>
      <c r="U786" s="311">
        <f t="shared" ca="1" si="350"/>
        <v>0</v>
      </c>
      <c r="V786" s="306">
        <f t="shared" ca="1" si="351"/>
        <v>1.2256838895059317</v>
      </c>
      <c r="W786" s="304">
        <f t="shared" ca="1" si="352"/>
        <v>59.227008806135522</v>
      </c>
      <c r="Y786" s="314" t="str">
        <f t="shared" ca="1" si="370"/>
        <v/>
      </c>
      <c r="Z786" s="315" t="str">
        <f t="shared" ca="1" si="371"/>
        <v/>
      </c>
      <c r="AA786" s="316" t="str">
        <f t="shared" ca="1" si="372"/>
        <v/>
      </c>
      <c r="AC786" s="310" t="e">
        <f t="shared" ca="1" si="373"/>
        <v>#N/A</v>
      </c>
      <c r="AD786" s="323" t="e">
        <f t="shared" ca="1" si="374"/>
        <v>#N/A</v>
      </c>
      <c r="AE786" s="324" t="e">
        <f t="shared" ca="1" si="353"/>
        <v>#N/A</v>
      </c>
      <c r="AG786" s="306">
        <f t="shared" ca="1" si="375"/>
        <v>2.3379138617621216</v>
      </c>
      <c r="AH786" s="304">
        <f t="shared" ca="1" si="376"/>
        <v>-7.4246845368281935</v>
      </c>
    </row>
    <row r="787" spans="1:34" x14ac:dyDescent="0.2">
      <c r="A787" s="347">
        <f t="shared" ca="1" si="354"/>
        <v>1E-4</v>
      </c>
      <c r="B787" s="304">
        <f t="shared" ca="1" si="355"/>
        <v>33.626700000001094</v>
      </c>
      <c r="D787" s="306">
        <f t="shared" ca="1" si="356"/>
        <v>-0.72900153757213304</v>
      </c>
      <c r="E787" s="307">
        <f t="shared" ca="1" si="357"/>
        <v>-2.4211532588476592</v>
      </c>
      <c r="F787" s="304">
        <f t="shared" ca="1" si="358"/>
        <v>2.5285225616179843</v>
      </c>
      <c r="G787" s="306">
        <f t="shared" ca="1" si="359"/>
        <v>11.875431949654718</v>
      </c>
      <c r="H787" s="307">
        <f t="shared" ca="1" si="360"/>
        <v>-120.3652630195017</v>
      </c>
      <c r="I787" s="304">
        <f t="shared" ca="1" si="361"/>
        <v>120.94966897740855</v>
      </c>
      <c r="J787" s="306">
        <f t="shared" ca="1" si="362"/>
        <v>755.70453742140728</v>
      </c>
      <c r="K787" s="307">
        <f t="shared" ca="1" si="363"/>
        <v>-5.5932500591986498</v>
      </c>
      <c r="L787" s="304">
        <f t="shared" ca="1" si="348"/>
        <v>755.72523599885687</v>
      </c>
      <c r="M787" s="306">
        <f t="shared" ca="1" si="364"/>
        <v>-1.4724529769684414</v>
      </c>
      <c r="N787" s="304">
        <f t="shared" ca="1" si="365"/>
        <v>-84.365341111765503</v>
      </c>
      <c r="P787" s="310">
        <f t="shared" ca="1" si="366"/>
        <v>23</v>
      </c>
      <c r="Q787" s="304">
        <f t="shared" ca="1" si="367"/>
        <v>0</v>
      </c>
      <c r="R787" s="306">
        <f t="shared" ca="1" si="368"/>
        <v>0</v>
      </c>
      <c r="S787" s="307">
        <f t="shared" ca="1" si="369"/>
        <v>7.9769999999999968</v>
      </c>
      <c r="T787" s="304">
        <f t="shared" ca="1" si="349"/>
        <v>78.254369999999966</v>
      </c>
      <c r="U787" s="311">
        <f t="shared" ca="1" si="350"/>
        <v>0</v>
      </c>
      <c r="V787" s="306">
        <f t="shared" ca="1" si="351"/>
        <v>1.2256853648030883</v>
      </c>
      <c r="W787" s="304">
        <f t="shared" ca="1" si="352"/>
        <v>59.227309059604316</v>
      </c>
      <c r="Y787" s="314" t="str">
        <f t="shared" ca="1" si="370"/>
        <v/>
      </c>
      <c r="Z787" s="315" t="str">
        <f t="shared" ca="1" si="371"/>
        <v/>
      </c>
      <c r="AA787" s="316" t="str">
        <f t="shared" ca="1" si="372"/>
        <v/>
      </c>
      <c r="AC787" s="310" t="e">
        <f t="shared" ca="1" si="373"/>
        <v>#N/A</v>
      </c>
      <c r="AD787" s="323" t="e">
        <f t="shared" ca="1" si="374"/>
        <v>#N/A</v>
      </c>
      <c r="AE787" s="324" t="e">
        <f t="shared" ca="1" si="353"/>
        <v>#N/A</v>
      </c>
      <c r="AG787" s="306">
        <f t="shared" ca="1" si="375"/>
        <v>2.337876988636018</v>
      </c>
      <c r="AH787" s="304">
        <f t="shared" ca="1" si="376"/>
        <v>-7.4247221770258927</v>
      </c>
    </row>
    <row r="788" spans="1:34" x14ac:dyDescent="0.2">
      <c r="A788" s="347">
        <f t="shared" ca="1" si="354"/>
        <v>1E-4</v>
      </c>
      <c r="B788" s="304">
        <f t="shared" ca="1" si="355"/>
        <v>33.626800000001097</v>
      </c>
      <c r="D788" s="306">
        <f t="shared" ca="1" si="356"/>
        <v>-0.7289993490175094</v>
      </c>
      <c r="E788" s="307">
        <f t="shared" ca="1" si="357"/>
        <v>-2.4211152202687378</v>
      </c>
      <c r="F788" s="304">
        <f t="shared" ca="1" si="358"/>
        <v>2.5284855073116179</v>
      </c>
      <c r="G788" s="306">
        <f t="shared" ca="1" si="359"/>
        <v>11.875359049719817</v>
      </c>
      <c r="H788" s="307">
        <f t="shared" ca="1" si="360"/>
        <v>-120.36550513102372</v>
      </c>
      <c r="I788" s="304">
        <f t="shared" ca="1" si="361"/>
        <v>120.94990276145847</v>
      </c>
      <c r="J788" s="306">
        <f t="shared" ca="1" si="362"/>
        <v>755.70453742140728</v>
      </c>
      <c r="K788" s="307">
        <f t="shared" ca="1" si="363"/>
        <v>-5.6052865976061756</v>
      </c>
      <c r="L788" s="304">
        <f t="shared" ca="1" si="348"/>
        <v>755.72532517915818</v>
      </c>
      <c r="M788" s="306">
        <f t="shared" ca="1" si="364"/>
        <v>-1.4724537733261989</v>
      </c>
      <c r="N788" s="304">
        <f t="shared" ca="1" si="365"/>
        <v>-84.365386739703993</v>
      </c>
      <c r="P788" s="310">
        <f t="shared" ca="1" si="366"/>
        <v>23</v>
      </c>
      <c r="Q788" s="304">
        <f t="shared" ca="1" si="367"/>
        <v>0</v>
      </c>
      <c r="R788" s="306">
        <f t="shared" ca="1" si="368"/>
        <v>0</v>
      </c>
      <c r="S788" s="307">
        <f t="shared" ca="1" si="369"/>
        <v>7.9769999999999968</v>
      </c>
      <c r="T788" s="304">
        <f t="shared" ca="1" si="349"/>
        <v>78.254369999999966</v>
      </c>
      <c r="U788" s="311">
        <f t="shared" ca="1" si="350"/>
        <v>0</v>
      </c>
      <c r="V788" s="306">
        <f t="shared" ca="1" si="351"/>
        <v>1.2256868401049885</v>
      </c>
      <c r="W788" s="304">
        <f t="shared" ca="1" si="352"/>
        <v>59.227609310684848</v>
      </c>
      <c r="Y788" s="314" t="str">
        <f t="shared" ca="1" si="370"/>
        <v/>
      </c>
      <c r="Z788" s="315" t="str">
        <f t="shared" ca="1" si="371"/>
        <v/>
      </c>
      <c r="AA788" s="316" t="str">
        <f t="shared" ca="1" si="372"/>
        <v/>
      </c>
      <c r="AC788" s="310" t="e">
        <f t="shared" ca="1" si="373"/>
        <v>#N/A</v>
      </c>
      <c r="AD788" s="323" t="e">
        <f t="shared" ca="1" si="374"/>
        <v>#N/A</v>
      </c>
      <c r="AE788" s="324" t="e">
        <f t="shared" ca="1" si="353"/>
        <v>#N/A</v>
      </c>
      <c r="AG788" s="306">
        <f t="shared" ca="1" si="375"/>
        <v>2.3378401157954425</v>
      </c>
      <c r="AH788" s="304">
        <f t="shared" ca="1" si="376"/>
        <v>-7.4247598169241993</v>
      </c>
    </row>
    <row r="789" spans="1:34" x14ac:dyDescent="0.2">
      <c r="A789" s="347">
        <f t="shared" ca="1" si="354"/>
        <v>1E-4</v>
      </c>
      <c r="B789" s="304">
        <f t="shared" ca="1" si="355"/>
        <v>33.6269000000011</v>
      </c>
      <c r="D789" s="306">
        <f t="shared" ca="1" si="356"/>
        <v>-0.72899716043223783</v>
      </c>
      <c r="E789" s="307">
        <f t="shared" ca="1" si="357"/>
        <v>-2.4210771819923709</v>
      </c>
      <c r="F789" s="304">
        <f t="shared" ca="1" si="358"/>
        <v>2.5284484533172482</v>
      </c>
      <c r="G789" s="306">
        <f t="shared" ca="1" si="359"/>
        <v>11.875286150003774</v>
      </c>
      <c r="H789" s="307">
        <f t="shared" ca="1" si="360"/>
        <v>-120.36574723874192</v>
      </c>
      <c r="I789" s="304">
        <f t="shared" ca="1" si="361"/>
        <v>120.95013654182115</v>
      </c>
      <c r="J789" s="306">
        <f t="shared" ca="1" si="362"/>
        <v>755.70453742140728</v>
      </c>
      <c r="K789" s="307">
        <f t="shared" ca="1" si="363"/>
        <v>-5.6173231602246636</v>
      </c>
      <c r="L789" s="304">
        <f t="shared" ca="1" si="348"/>
        <v>755.7254145513366</v>
      </c>
      <c r="M789" s="306">
        <f t="shared" ca="1" si="364"/>
        <v>-1.4724545696759896</v>
      </c>
      <c r="N789" s="304">
        <f t="shared" ca="1" si="365"/>
        <v>-84.365432367186017</v>
      </c>
      <c r="P789" s="310">
        <f t="shared" ca="1" si="366"/>
        <v>23</v>
      </c>
      <c r="Q789" s="304">
        <f t="shared" ca="1" si="367"/>
        <v>0</v>
      </c>
      <c r="R789" s="306">
        <f t="shared" ca="1" si="368"/>
        <v>0</v>
      </c>
      <c r="S789" s="307">
        <f t="shared" ca="1" si="369"/>
        <v>7.9769999999999968</v>
      </c>
      <c r="T789" s="304">
        <f t="shared" ca="1" si="349"/>
        <v>78.254369999999966</v>
      </c>
      <c r="U789" s="311">
        <f t="shared" ca="1" si="350"/>
        <v>0</v>
      </c>
      <c r="V789" s="306">
        <f t="shared" ca="1" si="351"/>
        <v>1.2256883154116329</v>
      </c>
      <c r="W789" s="304">
        <f t="shared" ca="1" si="352"/>
        <v>59.227909559377167</v>
      </c>
      <c r="Y789" s="314" t="str">
        <f t="shared" ca="1" si="370"/>
        <v/>
      </c>
      <c r="Z789" s="315" t="str">
        <f t="shared" ca="1" si="371"/>
        <v/>
      </c>
      <c r="AA789" s="316" t="str">
        <f t="shared" ca="1" si="372"/>
        <v/>
      </c>
      <c r="AC789" s="310" t="e">
        <f t="shared" ca="1" si="373"/>
        <v>#N/A</v>
      </c>
      <c r="AD789" s="323" t="e">
        <f t="shared" ca="1" si="374"/>
        <v>#N/A</v>
      </c>
      <c r="AE789" s="324" t="e">
        <f t="shared" ca="1" si="353"/>
        <v>#N/A</v>
      </c>
      <c r="AG789" s="306">
        <f t="shared" ca="1" si="375"/>
        <v>2.3378032432403941</v>
      </c>
      <c r="AH789" s="304">
        <f t="shared" ca="1" si="376"/>
        <v>-7.4247974565231125</v>
      </c>
    </row>
    <row r="790" spans="1:34" x14ac:dyDescent="0.2">
      <c r="A790" s="347">
        <f t="shared" ca="1" si="354"/>
        <v>1E-4</v>
      </c>
      <c r="B790" s="304">
        <f t="shared" ca="1" si="355"/>
        <v>33.627000000001104</v>
      </c>
      <c r="D790" s="306">
        <f t="shared" ca="1" si="356"/>
        <v>-0.72899497181631556</v>
      </c>
      <c r="E790" s="307">
        <f t="shared" ca="1" si="357"/>
        <v>-2.4210391440185521</v>
      </c>
      <c r="F790" s="304">
        <f t="shared" ca="1" si="358"/>
        <v>2.5284113996348685</v>
      </c>
      <c r="G790" s="306">
        <f t="shared" ca="1" si="359"/>
        <v>11.875213250506592</v>
      </c>
      <c r="H790" s="307">
        <f t="shared" ca="1" si="360"/>
        <v>-120.36598934265632</v>
      </c>
      <c r="I790" s="304">
        <f t="shared" ca="1" si="361"/>
        <v>120.9503703184966</v>
      </c>
      <c r="J790" s="306">
        <f t="shared" ca="1" si="362"/>
        <v>755.70453742140728</v>
      </c>
      <c r="K790" s="307">
        <f t="shared" ca="1" si="363"/>
        <v>-5.6293597470537335</v>
      </c>
      <c r="L790" s="304">
        <f t="shared" ca="1" si="348"/>
        <v>755.72550411539305</v>
      </c>
      <c r="M790" s="306">
        <f t="shared" ca="1" si="364"/>
        <v>-1.472455366017813</v>
      </c>
      <c r="N790" s="304">
        <f t="shared" ca="1" si="365"/>
        <v>-84.365477994211545</v>
      </c>
      <c r="P790" s="310">
        <f t="shared" ca="1" si="366"/>
        <v>23</v>
      </c>
      <c r="Q790" s="304">
        <f t="shared" ca="1" si="367"/>
        <v>0</v>
      </c>
      <c r="R790" s="306">
        <f t="shared" ca="1" si="368"/>
        <v>0</v>
      </c>
      <c r="S790" s="307">
        <f t="shared" ca="1" si="369"/>
        <v>7.9769999999999968</v>
      </c>
      <c r="T790" s="304">
        <f t="shared" ca="1" si="349"/>
        <v>78.254369999999966</v>
      </c>
      <c r="U790" s="311">
        <f t="shared" ca="1" si="350"/>
        <v>0</v>
      </c>
      <c r="V790" s="306">
        <f t="shared" ca="1" si="351"/>
        <v>1.2256897907230206</v>
      </c>
      <c r="W790" s="304">
        <f t="shared" ca="1" si="352"/>
        <v>59.228209805681203</v>
      </c>
      <c r="Y790" s="314" t="str">
        <f t="shared" ca="1" si="370"/>
        <v/>
      </c>
      <c r="Z790" s="315" t="str">
        <f t="shared" ca="1" si="371"/>
        <v/>
      </c>
      <c r="AA790" s="316" t="str">
        <f t="shared" ca="1" si="372"/>
        <v/>
      </c>
      <c r="AC790" s="310" t="e">
        <f t="shared" ca="1" si="373"/>
        <v>#N/A</v>
      </c>
      <c r="AD790" s="323" t="e">
        <f t="shared" ca="1" si="374"/>
        <v>#N/A</v>
      </c>
      <c r="AE790" s="324" t="e">
        <f t="shared" ca="1" si="353"/>
        <v>#N/A</v>
      </c>
      <c r="AG790" s="306">
        <f t="shared" ca="1" si="375"/>
        <v>2.3377663709708703</v>
      </c>
      <c r="AH790" s="304">
        <f t="shared" ca="1" si="376"/>
        <v>-7.4248350958226386</v>
      </c>
    </row>
    <row r="791" spans="1:34" x14ac:dyDescent="0.2">
      <c r="A791" s="347">
        <f t="shared" ca="1" si="354"/>
        <v>1E-4</v>
      </c>
      <c r="B791" s="304">
        <f t="shared" ca="1" si="355"/>
        <v>33.627100000001107</v>
      </c>
      <c r="D791" s="306">
        <f t="shared" ca="1" si="356"/>
        <v>-0.72899278316974814</v>
      </c>
      <c r="E791" s="307">
        <f t="shared" ca="1" si="357"/>
        <v>-2.4210011063472914</v>
      </c>
      <c r="F791" s="304">
        <f t="shared" ca="1" si="358"/>
        <v>2.5283743462644894</v>
      </c>
      <c r="G791" s="306">
        <f t="shared" ca="1" si="359"/>
        <v>11.875140351228275</v>
      </c>
      <c r="H791" s="307">
        <f t="shared" ca="1" si="360"/>
        <v>-120.36623144276696</v>
      </c>
      <c r="I791" s="304">
        <f t="shared" ca="1" si="361"/>
        <v>120.95060409148485</v>
      </c>
      <c r="J791" s="306">
        <f t="shared" ca="1" si="362"/>
        <v>755.70453742140728</v>
      </c>
      <c r="K791" s="307">
        <f t="shared" ca="1" si="363"/>
        <v>-5.6413963580930044</v>
      </c>
      <c r="L791" s="304">
        <f t="shared" ca="1" si="348"/>
        <v>755.72559387132856</v>
      </c>
      <c r="M791" s="306">
        <f t="shared" ca="1" si="364"/>
        <v>-1.4724561623516699</v>
      </c>
      <c r="N791" s="304">
        <f t="shared" ca="1" si="365"/>
        <v>-84.365523620780621</v>
      </c>
      <c r="P791" s="310">
        <f t="shared" ca="1" si="366"/>
        <v>23</v>
      </c>
      <c r="Q791" s="304">
        <f t="shared" ca="1" si="367"/>
        <v>0</v>
      </c>
      <c r="R791" s="306">
        <f t="shared" ca="1" si="368"/>
        <v>0</v>
      </c>
      <c r="S791" s="307">
        <f t="shared" ca="1" si="369"/>
        <v>7.9769999999999968</v>
      </c>
      <c r="T791" s="304">
        <f t="shared" ca="1" si="349"/>
        <v>78.254369999999966</v>
      </c>
      <c r="U791" s="311">
        <f t="shared" ca="1" si="350"/>
        <v>0</v>
      </c>
      <c r="V791" s="306">
        <f t="shared" ca="1" si="351"/>
        <v>1.2256912660391521</v>
      </c>
      <c r="W791" s="304">
        <f t="shared" ca="1" si="352"/>
        <v>59.228510049597013</v>
      </c>
      <c r="Y791" s="314" t="str">
        <f t="shared" ca="1" si="370"/>
        <v/>
      </c>
      <c r="Z791" s="315" t="str">
        <f t="shared" ca="1" si="371"/>
        <v/>
      </c>
      <c r="AA791" s="316" t="str">
        <f t="shared" ca="1" si="372"/>
        <v/>
      </c>
      <c r="AC791" s="310" t="e">
        <f t="shared" ca="1" si="373"/>
        <v>#N/A</v>
      </c>
      <c r="AD791" s="323" t="e">
        <f t="shared" ca="1" si="374"/>
        <v>#N/A</v>
      </c>
      <c r="AE791" s="324" t="e">
        <f t="shared" ca="1" si="353"/>
        <v>#N/A</v>
      </c>
      <c r="AG791" s="306">
        <f t="shared" ca="1" si="375"/>
        <v>2.3377294989868744</v>
      </c>
      <c r="AH791" s="304">
        <f t="shared" ca="1" si="376"/>
        <v>-7.4248727348227685</v>
      </c>
    </row>
    <row r="792" spans="1:34" x14ac:dyDescent="0.2">
      <c r="A792" s="347">
        <f t="shared" ca="1" si="354"/>
        <v>1E-4</v>
      </c>
      <c r="B792" s="304">
        <f t="shared" ca="1" si="355"/>
        <v>33.62720000000111</v>
      </c>
      <c r="D792" s="306">
        <f t="shared" ca="1" si="356"/>
        <v>-0.72899059449253145</v>
      </c>
      <c r="E792" s="307">
        <f t="shared" ca="1" si="357"/>
        <v>-2.4209630689785806</v>
      </c>
      <c r="F792" s="304">
        <f t="shared" ca="1" si="358"/>
        <v>2.5283372932061026</v>
      </c>
      <c r="G792" s="306">
        <f t="shared" ca="1" si="359"/>
        <v>11.875067452168826</v>
      </c>
      <c r="H792" s="307">
        <f t="shared" ca="1" si="360"/>
        <v>-120.36647353907385</v>
      </c>
      <c r="I792" s="304">
        <f t="shared" ca="1" si="361"/>
        <v>120.95083786078592</v>
      </c>
      <c r="J792" s="306">
        <f t="shared" ca="1" si="362"/>
        <v>755.70453742140728</v>
      </c>
      <c r="K792" s="307">
        <f t="shared" ca="1" si="363"/>
        <v>-5.6534329933420961</v>
      </c>
      <c r="L792" s="304">
        <f t="shared" ca="1" si="348"/>
        <v>755.72568381914436</v>
      </c>
      <c r="M792" s="306">
        <f t="shared" ca="1" si="364"/>
        <v>-1.4724569586775598</v>
      </c>
      <c r="N792" s="304">
        <f t="shared" ca="1" si="365"/>
        <v>-84.36556924689323</v>
      </c>
      <c r="P792" s="310">
        <f t="shared" ca="1" si="366"/>
        <v>23</v>
      </c>
      <c r="Q792" s="304">
        <f t="shared" ca="1" si="367"/>
        <v>0</v>
      </c>
      <c r="R792" s="306">
        <f t="shared" ca="1" si="368"/>
        <v>0</v>
      </c>
      <c r="S792" s="307">
        <f t="shared" ca="1" si="369"/>
        <v>7.9769999999999968</v>
      </c>
      <c r="T792" s="304">
        <f t="shared" ca="1" si="349"/>
        <v>78.254369999999966</v>
      </c>
      <c r="U792" s="311">
        <f t="shared" ca="1" si="350"/>
        <v>0</v>
      </c>
      <c r="V792" s="306">
        <f t="shared" ca="1" si="351"/>
        <v>1.2256927413600276</v>
      </c>
      <c r="W792" s="304">
        <f t="shared" ca="1" si="352"/>
        <v>59.228810291124582</v>
      </c>
      <c r="Y792" s="314" t="str">
        <f t="shared" ca="1" si="370"/>
        <v/>
      </c>
      <c r="Z792" s="315" t="str">
        <f t="shared" ca="1" si="371"/>
        <v/>
      </c>
      <c r="AA792" s="316" t="str">
        <f t="shared" ca="1" si="372"/>
        <v/>
      </c>
      <c r="AC792" s="310" t="e">
        <f t="shared" ca="1" si="373"/>
        <v>#N/A</v>
      </c>
      <c r="AD792" s="323" t="e">
        <f t="shared" ca="1" si="374"/>
        <v>#N/A</v>
      </c>
      <c r="AE792" s="324" t="e">
        <f t="shared" ca="1" si="353"/>
        <v>#N/A</v>
      </c>
      <c r="AG792" s="306">
        <f t="shared" ca="1" si="375"/>
        <v>2.3376926272884049</v>
      </c>
      <c r="AH792" s="304">
        <f t="shared" ca="1" si="376"/>
        <v>-7.4249103735235096</v>
      </c>
    </row>
    <row r="793" spans="1:34" x14ac:dyDescent="0.2">
      <c r="A793" s="347">
        <f t="shared" ca="1" si="354"/>
        <v>1E-4</v>
      </c>
      <c r="B793" s="304">
        <f t="shared" ca="1" si="355"/>
        <v>33.627300000001114</v>
      </c>
      <c r="D793" s="306">
        <f t="shared" ca="1" si="356"/>
        <v>-0.72898840578467017</v>
      </c>
      <c r="E793" s="307">
        <f t="shared" ca="1" si="357"/>
        <v>-2.4209250319124216</v>
      </c>
      <c r="F793" s="304">
        <f t="shared" ca="1" si="358"/>
        <v>2.5283002404597115</v>
      </c>
      <c r="G793" s="306">
        <f t="shared" ca="1" si="359"/>
        <v>11.874994553328248</v>
      </c>
      <c r="H793" s="307">
        <f t="shared" ca="1" si="360"/>
        <v>-120.36671563157704</v>
      </c>
      <c r="I793" s="304">
        <f t="shared" ca="1" si="361"/>
        <v>120.95107162639985</v>
      </c>
      <c r="J793" s="306">
        <f t="shared" ca="1" si="362"/>
        <v>755.70453742140728</v>
      </c>
      <c r="K793" s="307">
        <f t="shared" ca="1" si="363"/>
        <v>-5.6654696528006285</v>
      </c>
      <c r="L793" s="304">
        <f t="shared" ca="1" si="348"/>
        <v>755.7257739588415</v>
      </c>
      <c r="M793" s="306">
        <f t="shared" ca="1" si="364"/>
        <v>-1.4724577549954829</v>
      </c>
      <c r="N793" s="304">
        <f t="shared" ca="1" si="365"/>
        <v>-84.365614872549386</v>
      </c>
      <c r="P793" s="310">
        <f t="shared" ca="1" si="366"/>
        <v>23</v>
      </c>
      <c r="Q793" s="304">
        <f t="shared" ca="1" si="367"/>
        <v>0</v>
      </c>
      <c r="R793" s="306">
        <f t="shared" ca="1" si="368"/>
        <v>0</v>
      </c>
      <c r="S793" s="307">
        <f t="shared" ca="1" si="369"/>
        <v>7.9769999999999968</v>
      </c>
      <c r="T793" s="304">
        <f t="shared" ca="1" si="349"/>
        <v>78.254369999999966</v>
      </c>
      <c r="U793" s="311">
        <f t="shared" ca="1" si="350"/>
        <v>0</v>
      </c>
      <c r="V793" s="306">
        <f t="shared" ca="1" si="351"/>
        <v>1.2256942166856466</v>
      </c>
      <c r="W793" s="304">
        <f t="shared" ca="1" si="352"/>
        <v>59.229110530263874</v>
      </c>
      <c r="Y793" s="314" t="str">
        <f t="shared" ca="1" si="370"/>
        <v/>
      </c>
      <c r="Z793" s="315" t="str">
        <f t="shared" ca="1" si="371"/>
        <v/>
      </c>
      <c r="AA793" s="316" t="str">
        <f t="shared" ca="1" si="372"/>
        <v/>
      </c>
      <c r="AC793" s="310" t="e">
        <f t="shared" ca="1" si="373"/>
        <v>#N/A</v>
      </c>
      <c r="AD793" s="323" t="e">
        <f t="shared" ca="1" si="374"/>
        <v>#N/A</v>
      </c>
      <c r="AE793" s="324" t="e">
        <f t="shared" ca="1" si="353"/>
        <v>#N/A</v>
      </c>
      <c r="AG793" s="306">
        <f t="shared" ca="1" si="375"/>
        <v>2.3376557558754634</v>
      </c>
      <c r="AH793" s="304">
        <f t="shared" ca="1" si="376"/>
        <v>-7.4249480119248599</v>
      </c>
    </row>
    <row r="794" spans="1:34" x14ac:dyDescent="0.2">
      <c r="A794" s="347">
        <f t="shared" ca="1" si="354"/>
        <v>1E-4</v>
      </c>
      <c r="B794" s="304">
        <f t="shared" ca="1" si="355"/>
        <v>33.627400000001117</v>
      </c>
      <c r="D794" s="306">
        <f t="shared" ca="1" si="356"/>
        <v>-0.72898621704616373</v>
      </c>
      <c r="E794" s="307">
        <f t="shared" ca="1" si="357"/>
        <v>-2.4208869951488206</v>
      </c>
      <c r="F794" s="304">
        <f t="shared" ca="1" si="358"/>
        <v>2.5282631880253215</v>
      </c>
      <c r="G794" s="306">
        <f t="shared" ca="1" si="359"/>
        <v>11.874921654706544</v>
      </c>
      <c r="H794" s="307">
        <f t="shared" ca="1" si="360"/>
        <v>-120.36695772027655</v>
      </c>
      <c r="I794" s="304">
        <f t="shared" ca="1" si="361"/>
        <v>120.95130538832667</v>
      </c>
      <c r="J794" s="306">
        <f t="shared" ca="1" si="362"/>
        <v>755.70453742140728</v>
      </c>
      <c r="K794" s="307">
        <f t="shared" ca="1" si="363"/>
        <v>-5.6775063364682214</v>
      </c>
      <c r="L794" s="304">
        <f t="shared" ca="1" si="348"/>
        <v>755.72586429042099</v>
      </c>
      <c r="M794" s="306">
        <f t="shared" ca="1" si="364"/>
        <v>-1.4724585513054396</v>
      </c>
      <c r="N794" s="304">
        <f t="shared" ca="1" si="365"/>
        <v>-84.365660497749076</v>
      </c>
      <c r="P794" s="310">
        <f t="shared" ca="1" si="366"/>
        <v>23</v>
      </c>
      <c r="Q794" s="304">
        <f t="shared" ca="1" si="367"/>
        <v>0</v>
      </c>
      <c r="R794" s="306">
        <f t="shared" ca="1" si="368"/>
        <v>0</v>
      </c>
      <c r="S794" s="307">
        <f t="shared" ca="1" si="369"/>
        <v>7.9769999999999968</v>
      </c>
      <c r="T794" s="304">
        <f t="shared" ca="1" si="349"/>
        <v>78.254369999999966</v>
      </c>
      <c r="U794" s="311">
        <f t="shared" ca="1" si="350"/>
        <v>0</v>
      </c>
      <c r="V794" s="306">
        <f t="shared" ca="1" si="351"/>
        <v>1.2256956920160089</v>
      </c>
      <c r="W794" s="304">
        <f t="shared" ca="1" si="352"/>
        <v>59.229410767014912</v>
      </c>
      <c r="Y794" s="314" t="str">
        <f t="shared" ca="1" si="370"/>
        <v/>
      </c>
      <c r="Z794" s="315" t="str">
        <f t="shared" ca="1" si="371"/>
        <v/>
      </c>
      <c r="AA794" s="316" t="str">
        <f t="shared" ca="1" si="372"/>
        <v/>
      </c>
      <c r="AC794" s="310" t="e">
        <f t="shared" ca="1" si="373"/>
        <v>#N/A</v>
      </c>
      <c r="AD794" s="323" t="e">
        <f t="shared" ca="1" si="374"/>
        <v>#N/A</v>
      </c>
      <c r="AE794" s="324" t="e">
        <f t="shared" ca="1" si="353"/>
        <v>#N/A</v>
      </c>
      <c r="AG794" s="306">
        <f t="shared" ca="1" si="375"/>
        <v>2.3376188847480517</v>
      </c>
      <c r="AH794" s="304">
        <f t="shared" ca="1" si="376"/>
        <v>-7.4249856500268141</v>
      </c>
    </row>
    <row r="795" spans="1:34" x14ac:dyDescent="0.2">
      <c r="A795" s="347">
        <f t="shared" ca="1" si="354"/>
        <v>1E-4</v>
      </c>
      <c r="B795" s="304">
        <f t="shared" ca="1" si="355"/>
        <v>33.62750000000112</v>
      </c>
      <c r="D795" s="306">
        <f t="shared" ca="1" si="356"/>
        <v>-0.72898402827701259</v>
      </c>
      <c r="E795" s="307">
        <f t="shared" ca="1" si="357"/>
        <v>-2.4208489586877722</v>
      </c>
      <c r="F795" s="304">
        <f t="shared" ca="1" si="358"/>
        <v>2.5282261359029281</v>
      </c>
      <c r="G795" s="306">
        <f t="shared" ca="1" si="359"/>
        <v>11.874848756303717</v>
      </c>
      <c r="H795" s="307">
        <f t="shared" ca="1" si="360"/>
        <v>-120.36719980517242</v>
      </c>
      <c r="I795" s="304">
        <f t="shared" ca="1" si="361"/>
        <v>120.95153914656642</v>
      </c>
      <c r="J795" s="306">
        <f t="shared" ca="1" si="362"/>
        <v>755.70453742140728</v>
      </c>
      <c r="K795" s="307">
        <f t="shared" ca="1" si="363"/>
        <v>-5.6895430443444939</v>
      </c>
      <c r="L795" s="304">
        <f t="shared" ca="1" si="348"/>
        <v>755.72595481388396</v>
      </c>
      <c r="M795" s="306">
        <f t="shared" ca="1" si="364"/>
        <v>-1.4724593476074299</v>
      </c>
      <c r="N795" s="304">
        <f t="shared" ca="1" si="365"/>
        <v>-84.365706122492341</v>
      </c>
      <c r="P795" s="310">
        <f t="shared" ca="1" si="366"/>
        <v>23</v>
      </c>
      <c r="Q795" s="304">
        <f t="shared" ca="1" si="367"/>
        <v>0</v>
      </c>
      <c r="R795" s="306">
        <f t="shared" ca="1" si="368"/>
        <v>0</v>
      </c>
      <c r="S795" s="307">
        <f t="shared" ca="1" si="369"/>
        <v>7.9769999999999968</v>
      </c>
      <c r="T795" s="304">
        <f t="shared" ca="1" si="349"/>
        <v>78.254369999999966</v>
      </c>
      <c r="U795" s="311">
        <f t="shared" ca="1" si="350"/>
        <v>0</v>
      </c>
      <c r="V795" s="306">
        <f t="shared" ca="1" si="351"/>
        <v>1.2256971673511148</v>
      </c>
      <c r="W795" s="304">
        <f t="shared" ca="1" si="352"/>
        <v>59.229711001377673</v>
      </c>
      <c r="Y795" s="314" t="str">
        <f t="shared" ca="1" si="370"/>
        <v/>
      </c>
      <c r="Z795" s="315" t="str">
        <f t="shared" ca="1" si="371"/>
        <v/>
      </c>
      <c r="AA795" s="316" t="str">
        <f t="shared" ca="1" si="372"/>
        <v/>
      </c>
      <c r="AC795" s="310" t="e">
        <f t="shared" ca="1" si="373"/>
        <v>#N/A</v>
      </c>
      <c r="AD795" s="323" t="e">
        <f t="shared" ca="1" si="374"/>
        <v>#N/A</v>
      </c>
      <c r="AE795" s="324" t="e">
        <f t="shared" ca="1" si="353"/>
        <v>#N/A</v>
      </c>
      <c r="AG795" s="306">
        <f t="shared" ca="1" si="375"/>
        <v>2.3375820139061672</v>
      </c>
      <c r="AH795" s="304">
        <f t="shared" ca="1" si="376"/>
        <v>-7.4250232878293767</v>
      </c>
    </row>
    <row r="796" spans="1:34" x14ac:dyDescent="0.2">
      <c r="A796" s="347">
        <f t="shared" ca="1" si="354"/>
        <v>1E-4</v>
      </c>
      <c r="B796" s="304">
        <f t="shared" ca="1" si="355"/>
        <v>33.627600000001124</v>
      </c>
      <c r="D796" s="306">
        <f t="shared" ca="1" si="356"/>
        <v>-0.72898183947721618</v>
      </c>
      <c r="E796" s="307">
        <f t="shared" ca="1" si="357"/>
        <v>-2.4208109225292818</v>
      </c>
      <c r="F796" s="304">
        <f t="shared" ca="1" si="358"/>
        <v>2.5281890840925363</v>
      </c>
      <c r="G796" s="306">
        <f t="shared" ca="1" si="359"/>
        <v>11.874775858119769</v>
      </c>
      <c r="H796" s="307">
        <f t="shared" ca="1" si="360"/>
        <v>-120.36744188626467</v>
      </c>
      <c r="I796" s="304">
        <f t="shared" ca="1" si="361"/>
        <v>120.9517729011191</v>
      </c>
      <c r="J796" s="306">
        <f t="shared" ca="1" si="362"/>
        <v>755.70453742140728</v>
      </c>
      <c r="K796" s="307">
        <f t="shared" ca="1" si="363"/>
        <v>-5.7015797764290657</v>
      </c>
      <c r="L796" s="304">
        <f t="shared" ca="1" si="348"/>
        <v>755.72604552923156</v>
      </c>
      <c r="M796" s="306">
        <f t="shared" ca="1" si="364"/>
        <v>-1.472460143901454</v>
      </c>
      <c r="N796" s="304">
        <f t="shared" ca="1" si="365"/>
        <v>-84.365751746779182</v>
      </c>
      <c r="P796" s="310">
        <f t="shared" ca="1" si="366"/>
        <v>23</v>
      </c>
      <c r="Q796" s="304">
        <f t="shared" ca="1" si="367"/>
        <v>0</v>
      </c>
      <c r="R796" s="306">
        <f t="shared" ca="1" si="368"/>
        <v>0</v>
      </c>
      <c r="S796" s="307">
        <f t="shared" ca="1" si="369"/>
        <v>7.9769999999999968</v>
      </c>
      <c r="T796" s="304">
        <f t="shared" ca="1" si="349"/>
        <v>78.254369999999966</v>
      </c>
      <c r="U796" s="311">
        <f t="shared" ca="1" si="350"/>
        <v>0</v>
      </c>
      <c r="V796" s="306">
        <f t="shared" ca="1" si="351"/>
        <v>1.2256986426909646</v>
      </c>
      <c r="W796" s="304">
        <f t="shared" ca="1" si="352"/>
        <v>59.230011233352194</v>
      </c>
      <c r="Y796" s="314" t="str">
        <f t="shared" ca="1" si="370"/>
        <v/>
      </c>
      <c r="Z796" s="315" t="str">
        <f t="shared" ca="1" si="371"/>
        <v/>
      </c>
      <c r="AA796" s="316" t="str">
        <f t="shared" ca="1" si="372"/>
        <v/>
      </c>
      <c r="AC796" s="310" t="e">
        <f t="shared" ca="1" si="373"/>
        <v>#N/A</v>
      </c>
      <c r="AD796" s="323" t="e">
        <f t="shared" ca="1" si="374"/>
        <v>#N/A</v>
      </c>
      <c r="AE796" s="324" t="e">
        <f t="shared" ca="1" si="353"/>
        <v>#N/A</v>
      </c>
      <c r="AG796" s="306">
        <f t="shared" ca="1" si="375"/>
        <v>2.3375451433498178</v>
      </c>
      <c r="AH796" s="304">
        <f t="shared" ca="1" si="376"/>
        <v>-7.4250609253325432</v>
      </c>
    </row>
    <row r="797" spans="1:34" x14ac:dyDescent="0.2">
      <c r="A797" s="347">
        <f t="shared" ca="1" si="354"/>
        <v>1E-4</v>
      </c>
      <c r="B797" s="304">
        <f t="shared" ca="1" si="355"/>
        <v>33.627700000001127</v>
      </c>
      <c r="D797" s="306">
        <f t="shared" ca="1" si="356"/>
        <v>-0.72897965064677661</v>
      </c>
      <c r="E797" s="307">
        <f t="shared" ca="1" si="357"/>
        <v>-2.4207728866733422</v>
      </c>
      <c r="F797" s="304">
        <f t="shared" ca="1" si="358"/>
        <v>2.5281520325941402</v>
      </c>
      <c r="G797" s="306">
        <f t="shared" ca="1" si="359"/>
        <v>11.874702960154703</v>
      </c>
      <c r="H797" s="307">
        <f t="shared" ca="1" si="360"/>
        <v>-120.36768396355333</v>
      </c>
      <c r="I797" s="304">
        <f t="shared" ca="1" si="361"/>
        <v>120.95200665198475</v>
      </c>
      <c r="J797" s="306">
        <f t="shared" ca="1" si="362"/>
        <v>755.70453742140728</v>
      </c>
      <c r="K797" s="307">
        <f t="shared" ca="1" si="363"/>
        <v>-5.7136165327215567</v>
      </c>
      <c r="L797" s="304">
        <f t="shared" ca="1" si="348"/>
        <v>755.7261364364648</v>
      </c>
      <c r="M797" s="306">
        <f t="shared" ca="1" si="364"/>
        <v>-1.4724609401875117</v>
      </c>
      <c r="N797" s="304">
        <f t="shared" ca="1" si="365"/>
        <v>-84.36579737060957</v>
      </c>
      <c r="P797" s="310">
        <f t="shared" ca="1" si="366"/>
        <v>23</v>
      </c>
      <c r="Q797" s="304">
        <f t="shared" ca="1" si="367"/>
        <v>0</v>
      </c>
      <c r="R797" s="306">
        <f t="shared" ca="1" si="368"/>
        <v>0</v>
      </c>
      <c r="S797" s="307">
        <f t="shared" ca="1" si="369"/>
        <v>7.9769999999999968</v>
      </c>
      <c r="T797" s="304">
        <f t="shared" ca="1" si="349"/>
        <v>78.254369999999966</v>
      </c>
      <c r="U797" s="311">
        <f t="shared" ca="1" si="350"/>
        <v>0</v>
      </c>
      <c r="V797" s="306">
        <f t="shared" ca="1" si="351"/>
        <v>1.2257001180355576</v>
      </c>
      <c r="W797" s="304">
        <f t="shared" ca="1" si="352"/>
        <v>59.23031146293841</v>
      </c>
      <c r="Y797" s="314" t="str">
        <f t="shared" ca="1" si="370"/>
        <v/>
      </c>
      <c r="Z797" s="315" t="str">
        <f t="shared" ca="1" si="371"/>
        <v/>
      </c>
      <c r="AA797" s="316" t="str">
        <f t="shared" ca="1" si="372"/>
        <v/>
      </c>
      <c r="AC797" s="310" t="e">
        <f t="shared" ca="1" si="373"/>
        <v>#N/A</v>
      </c>
      <c r="AD797" s="323" t="e">
        <f t="shared" ca="1" si="374"/>
        <v>#N/A</v>
      </c>
      <c r="AE797" s="324" t="e">
        <f t="shared" ca="1" si="353"/>
        <v>#N/A</v>
      </c>
      <c r="AG797" s="306">
        <f t="shared" ca="1" si="375"/>
        <v>2.3375082730789947</v>
      </c>
      <c r="AH797" s="304">
        <f t="shared" ca="1" si="376"/>
        <v>-7.4250985625363191</v>
      </c>
    </row>
    <row r="798" spans="1:34" x14ac:dyDescent="0.2">
      <c r="A798" s="347">
        <f t="shared" ca="1" si="354"/>
        <v>1E-4</v>
      </c>
      <c r="B798" s="304">
        <f t="shared" ca="1" si="355"/>
        <v>33.62780000000113</v>
      </c>
      <c r="D798" s="306">
        <f t="shared" ca="1" si="356"/>
        <v>-0.72897746178569511</v>
      </c>
      <c r="E798" s="307">
        <f t="shared" ca="1" si="357"/>
        <v>-2.4207348511199633</v>
      </c>
      <c r="F798" s="304">
        <f t="shared" ca="1" si="358"/>
        <v>2.5281149814077493</v>
      </c>
      <c r="G798" s="306">
        <f t="shared" ca="1" si="359"/>
        <v>11.874630062408524</v>
      </c>
      <c r="H798" s="307">
        <f t="shared" ca="1" si="360"/>
        <v>-120.36792603703844</v>
      </c>
      <c r="I798" s="304">
        <f t="shared" ca="1" si="361"/>
        <v>120.9522403991634</v>
      </c>
      <c r="J798" s="306">
        <f t="shared" ca="1" si="362"/>
        <v>755.70453742140728</v>
      </c>
      <c r="K798" s="307">
        <f t="shared" ca="1" si="363"/>
        <v>-5.7256533132215859</v>
      </c>
      <c r="L798" s="304">
        <f t="shared" ca="1" si="348"/>
        <v>755.72622753558471</v>
      </c>
      <c r="M798" s="306">
        <f t="shared" ca="1" si="364"/>
        <v>-1.4724617364656036</v>
      </c>
      <c r="N798" s="304">
        <f t="shared" ca="1" si="365"/>
        <v>-84.365842993983549</v>
      </c>
      <c r="P798" s="310">
        <f t="shared" ca="1" si="366"/>
        <v>23</v>
      </c>
      <c r="Q798" s="304">
        <f t="shared" ca="1" si="367"/>
        <v>0</v>
      </c>
      <c r="R798" s="306">
        <f t="shared" ca="1" si="368"/>
        <v>0</v>
      </c>
      <c r="S798" s="307">
        <f t="shared" ca="1" si="369"/>
        <v>7.9769999999999968</v>
      </c>
      <c r="T798" s="304">
        <f t="shared" ca="1" si="349"/>
        <v>78.254369999999966</v>
      </c>
      <c r="U798" s="311">
        <f t="shared" ca="1" si="350"/>
        <v>0</v>
      </c>
      <c r="V798" s="306">
        <f t="shared" ca="1" si="351"/>
        <v>1.225701593384894</v>
      </c>
      <c r="W798" s="304">
        <f t="shared" ca="1" si="352"/>
        <v>59.230611690136364</v>
      </c>
      <c r="Y798" s="314" t="str">
        <f t="shared" ca="1" si="370"/>
        <v/>
      </c>
      <c r="Z798" s="315" t="str">
        <f t="shared" ca="1" si="371"/>
        <v/>
      </c>
      <c r="AA798" s="316" t="str">
        <f t="shared" ca="1" si="372"/>
        <v/>
      </c>
      <c r="AC798" s="310" t="e">
        <f t="shared" ca="1" si="373"/>
        <v>#N/A</v>
      </c>
      <c r="AD798" s="323" t="e">
        <f t="shared" ca="1" si="374"/>
        <v>#N/A</v>
      </c>
      <c r="AE798" s="324" t="e">
        <f t="shared" ca="1" si="353"/>
        <v>#N/A</v>
      </c>
      <c r="AG798" s="306">
        <f t="shared" ca="1" si="375"/>
        <v>2.3374714030937076</v>
      </c>
      <c r="AH798" s="304">
        <f t="shared" ca="1" si="376"/>
        <v>-7.4251361994406961</v>
      </c>
    </row>
    <row r="799" spans="1:34" x14ac:dyDescent="0.2">
      <c r="A799" s="347">
        <f t="shared" ca="1" si="354"/>
        <v>1E-4</v>
      </c>
      <c r="B799" s="304">
        <f t="shared" ca="1" si="355"/>
        <v>33.627900000001134</v>
      </c>
      <c r="D799" s="306">
        <f t="shared" ca="1" si="356"/>
        <v>-0.72897527289397002</v>
      </c>
      <c r="E799" s="307">
        <f t="shared" ca="1" si="357"/>
        <v>-2.4206968158691398</v>
      </c>
      <c r="F799" s="304">
        <f t="shared" ca="1" si="358"/>
        <v>2.5280779305333585</v>
      </c>
      <c r="G799" s="306">
        <f t="shared" ca="1" si="359"/>
        <v>11.874557164881235</v>
      </c>
      <c r="H799" s="307">
        <f t="shared" ca="1" si="360"/>
        <v>-120.36816810672003</v>
      </c>
      <c r="I799" s="304">
        <f t="shared" ca="1" si="361"/>
        <v>120.95247414265508</v>
      </c>
      <c r="J799" s="306">
        <f t="shared" ca="1" si="362"/>
        <v>755.70453742140728</v>
      </c>
      <c r="K799" s="307">
        <f t="shared" ca="1" si="363"/>
        <v>-5.737690117928774</v>
      </c>
      <c r="L799" s="304">
        <f t="shared" ca="1" si="348"/>
        <v>755.72631882659243</v>
      </c>
      <c r="M799" s="306">
        <f t="shared" ca="1" si="364"/>
        <v>-1.4724625327357295</v>
      </c>
      <c r="N799" s="304">
        <f t="shared" ca="1" si="365"/>
        <v>-84.365888616901117</v>
      </c>
      <c r="P799" s="310">
        <f t="shared" ca="1" si="366"/>
        <v>23</v>
      </c>
      <c r="Q799" s="304">
        <f t="shared" ca="1" si="367"/>
        <v>0</v>
      </c>
      <c r="R799" s="306">
        <f t="shared" ca="1" si="368"/>
        <v>0</v>
      </c>
      <c r="S799" s="307">
        <f t="shared" ca="1" si="369"/>
        <v>7.9769999999999968</v>
      </c>
      <c r="T799" s="304">
        <f t="shared" ca="1" si="349"/>
        <v>78.254369999999966</v>
      </c>
      <c r="U799" s="311">
        <f t="shared" ca="1" si="350"/>
        <v>0</v>
      </c>
      <c r="V799" s="306">
        <f t="shared" ca="1" si="351"/>
        <v>1.2257030687389743</v>
      </c>
      <c r="W799" s="304">
        <f t="shared" ca="1" si="352"/>
        <v>59.230911914946049</v>
      </c>
      <c r="Y799" s="314" t="str">
        <f t="shared" ca="1" si="370"/>
        <v/>
      </c>
      <c r="Z799" s="315" t="str">
        <f t="shared" ca="1" si="371"/>
        <v/>
      </c>
      <c r="AA799" s="316" t="str">
        <f t="shared" ca="1" si="372"/>
        <v/>
      </c>
      <c r="AC799" s="310" t="e">
        <f t="shared" ca="1" si="373"/>
        <v>#N/A</v>
      </c>
      <c r="AD799" s="323" t="e">
        <f t="shared" ca="1" si="374"/>
        <v>#N/A</v>
      </c>
      <c r="AE799" s="324" t="e">
        <f t="shared" ca="1" si="353"/>
        <v>#N/A</v>
      </c>
      <c r="AG799" s="306">
        <f t="shared" ca="1" si="375"/>
        <v>2.337434533393953</v>
      </c>
      <c r="AH799" s="304">
        <f t="shared" ca="1" si="376"/>
        <v>-7.4251738360456798</v>
      </c>
    </row>
    <row r="800" spans="1:34" x14ac:dyDescent="0.2">
      <c r="A800" s="347">
        <f t="shared" ca="1" si="354"/>
        <v>1E-4</v>
      </c>
      <c r="B800" s="304">
        <f t="shared" ca="1" si="355"/>
        <v>33.628000000001137</v>
      </c>
      <c r="D800" s="306">
        <f t="shared" ca="1" si="356"/>
        <v>-0.72897308397160487</v>
      </c>
      <c r="E800" s="307">
        <f t="shared" ca="1" si="357"/>
        <v>-2.4206587809208715</v>
      </c>
      <c r="F800" s="304">
        <f t="shared" ca="1" si="358"/>
        <v>2.5280408799709693</v>
      </c>
      <c r="G800" s="306">
        <f t="shared" ca="1" si="359"/>
        <v>11.874484267572837</v>
      </c>
      <c r="H800" s="307">
        <f t="shared" ca="1" si="360"/>
        <v>-120.36841017259813</v>
      </c>
      <c r="I800" s="304">
        <f t="shared" ca="1" si="361"/>
        <v>120.95270788245983</v>
      </c>
      <c r="J800" s="306">
        <f t="shared" ca="1" si="362"/>
        <v>755.70453742140728</v>
      </c>
      <c r="K800" s="307">
        <f t="shared" ca="1" si="363"/>
        <v>-5.7497269468427401</v>
      </c>
      <c r="L800" s="304">
        <f t="shared" ca="1" si="348"/>
        <v>755.72641030948921</v>
      </c>
      <c r="M800" s="306">
        <f t="shared" ca="1" si="364"/>
        <v>-1.4724633289978895</v>
      </c>
      <c r="N800" s="304">
        <f t="shared" ca="1" si="365"/>
        <v>-84.365934239362275</v>
      </c>
      <c r="P800" s="310">
        <f t="shared" ca="1" si="366"/>
        <v>23</v>
      </c>
      <c r="Q800" s="304">
        <f t="shared" ca="1" si="367"/>
        <v>0</v>
      </c>
      <c r="R800" s="306">
        <f t="shared" ca="1" si="368"/>
        <v>0</v>
      </c>
      <c r="S800" s="307">
        <f t="shared" ca="1" si="369"/>
        <v>7.9769999999999968</v>
      </c>
      <c r="T800" s="304">
        <f t="shared" ca="1" si="349"/>
        <v>78.254369999999966</v>
      </c>
      <c r="U800" s="311">
        <f t="shared" ca="1" si="350"/>
        <v>0</v>
      </c>
      <c r="V800" s="306">
        <f t="shared" ca="1" si="351"/>
        <v>1.2257045440977976</v>
      </c>
      <c r="W800" s="304">
        <f t="shared" ca="1" si="352"/>
        <v>59.231212137367471</v>
      </c>
      <c r="Y800" s="314" t="str">
        <f t="shared" ca="1" si="370"/>
        <v/>
      </c>
      <c r="Z800" s="315" t="str">
        <f t="shared" ca="1" si="371"/>
        <v/>
      </c>
      <c r="AA800" s="316" t="str">
        <f t="shared" ca="1" si="372"/>
        <v/>
      </c>
      <c r="AC800" s="310" t="e">
        <f t="shared" ca="1" si="373"/>
        <v>#N/A</v>
      </c>
      <c r="AD800" s="323" t="e">
        <f t="shared" ca="1" si="374"/>
        <v>#N/A</v>
      </c>
      <c r="AE800" s="324" t="e">
        <f t="shared" ca="1" si="353"/>
        <v>#N/A</v>
      </c>
      <c r="AG800" s="306">
        <f t="shared" ca="1" si="375"/>
        <v>2.33739766397973</v>
      </c>
      <c r="AH800" s="304">
        <f t="shared" ca="1" si="376"/>
        <v>-7.4252114723512692</v>
      </c>
    </row>
    <row r="801" spans="1:34" x14ac:dyDescent="0.2">
      <c r="A801" s="347">
        <f t="shared" ca="1" si="354"/>
        <v>1E-4</v>
      </c>
      <c r="B801" s="304">
        <f t="shared" ca="1" si="355"/>
        <v>33.62810000000114</v>
      </c>
      <c r="D801" s="306">
        <f t="shared" ca="1" si="356"/>
        <v>-0.72897089501859946</v>
      </c>
      <c r="E801" s="307">
        <f t="shared" ca="1" si="357"/>
        <v>-2.4206207462751586</v>
      </c>
      <c r="F801" s="304">
        <f t="shared" ca="1" si="358"/>
        <v>2.5280038297205807</v>
      </c>
      <c r="G801" s="306">
        <f t="shared" ca="1" si="359"/>
        <v>11.874411370483335</v>
      </c>
      <c r="H801" s="307">
        <f t="shared" ca="1" si="360"/>
        <v>-120.36865223467277</v>
      </c>
      <c r="I801" s="304">
        <f t="shared" ca="1" si="361"/>
        <v>120.95294161857765</v>
      </c>
      <c r="J801" s="306">
        <f t="shared" ca="1" si="362"/>
        <v>755.70453742140728</v>
      </c>
      <c r="K801" s="307">
        <f t="shared" ca="1" si="363"/>
        <v>-5.7617637999631039</v>
      </c>
      <c r="L801" s="304">
        <f t="shared" ca="1" si="348"/>
        <v>755.72650198427584</v>
      </c>
      <c r="M801" s="306">
        <f t="shared" ca="1" si="364"/>
        <v>-1.4724641252520838</v>
      </c>
      <c r="N801" s="304">
        <f t="shared" ca="1" si="365"/>
        <v>-84.365979861367023</v>
      </c>
      <c r="P801" s="310">
        <f t="shared" ca="1" si="366"/>
        <v>23</v>
      </c>
      <c r="Q801" s="304">
        <f t="shared" ca="1" si="367"/>
        <v>0</v>
      </c>
      <c r="R801" s="306">
        <f t="shared" ca="1" si="368"/>
        <v>0</v>
      </c>
      <c r="S801" s="307">
        <f t="shared" ca="1" si="369"/>
        <v>7.9769999999999968</v>
      </c>
      <c r="T801" s="304">
        <f t="shared" ca="1" si="349"/>
        <v>78.254369999999966</v>
      </c>
      <c r="U801" s="311">
        <f t="shared" ca="1" si="350"/>
        <v>0</v>
      </c>
      <c r="V801" s="306">
        <f t="shared" ca="1" si="351"/>
        <v>1.2257060194613645</v>
      </c>
      <c r="W801" s="304">
        <f t="shared" ca="1" si="352"/>
        <v>59.231512357400597</v>
      </c>
      <c r="Y801" s="314" t="str">
        <f t="shared" ca="1" si="370"/>
        <v/>
      </c>
      <c r="Z801" s="315" t="str">
        <f t="shared" ca="1" si="371"/>
        <v/>
      </c>
      <c r="AA801" s="316" t="str">
        <f t="shared" ca="1" si="372"/>
        <v/>
      </c>
      <c r="AC801" s="310" t="e">
        <f t="shared" ca="1" si="373"/>
        <v>#N/A</v>
      </c>
      <c r="AD801" s="323" t="e">
        <f t="shared" ca="1" si="374"/>
        <v>#N/A</v>
      </c>
      <c r="AE801" s="324" t="e">
        <f t="shared" ca="1" si="353"/>
        <v>#N/A</v>
      </c>
      <c r="AG801" s="306">
        <f t="shared" ca="1" si="375"/>
        <v>2.3373607948510404</v>
      </c>
      <c r="AH801" s="304">
        <f t="shared" ca="1" si="376"/>
        <v>-7.4252491083574643</v>
      </c>
    </row>
    <row r="802" spans="1:34" x14ac:dyDescent="0.2">
      <c r="A802" s="347">
        <f t="shared" ca="1" si="354"/>
        <v>1E-4</v>
      </c>
      <c r="B802" s="304">
        <f t="shared" ca="1" si="355"/>
        <v>33.628200000001144</v>
      </c>
      <c r="D802" s="306">
        <f t="shared" ca="1" si="356"/>
        <v>-0.72896870603495345</v>
      </c>
      <c r="E802" s="307">
        <f t="shared" ca="1" si="357"/>
        <v>-2.4205827119320045</v>
      </c>
      <c r="F802" s="304">
        <f t="shared" ca="1" si="358"/>
        <v>2.5279667797821972</v>
      </c>
      <c r="G802" s="306">
        <f t="shared" ca="1" si="359"/>
        <v>11.874338473612731</v>
      </c>
      <c r="H802" s="307">
        <f t="shared" ca="1" si="360"/>
        <v>-120.36889429294396</v>
      </c>
      <c r="I802" s="304">
        <f t="shared" ca="1" si="361"/>
        <v>120.95317535100861</v>
      </c>
      <c r="J802" s="306">
        <f t="shared" ca="1" si="362"/>
        <v>755.70453742140728</v>
      </c>
      <c r="K802" s="307">
        <f t="shared" ca="1" si="363"/>
        <v>-5.7738006772894845</v>
      </c>
      <c r="L802" s="304">
        <f t="shared" ca="1" si="348"/>
        <v>755.72659385095369</v>
      </c>
      <c r="M802" s="306">
        <f t="shared" ca="1" si="364"/>
        <v>-1.4724649214983125</v>
      </c>
      <c r="N802" s="304">
        <f t="shared" ca="1" si="365"/>
        <v>-84.36602548291539</v>
      </c>
      <c r="P802" s="310">
        <f t="shared" ca="1" si="366"/>
        <v>23</v>
      </c>
      <c r="Q802" s="304">
        <f t="shared" ca="1" si="367"/>
        <v>0</v>
      </c>
      <c r="R802" s="306">
        <f t="shared" ca="1" si="368"/>
        <v>0</v>
      </c>
      <c r="S802" s="307">
        <f t="shared" ca="1" si="369"/>
        <v>7.9769999999999968</v>
      </c>
      <c r="T802" s="304">
        <f t="shared" ca="1" si="349"/>
        <v>78.254369999999966</v>
      </c>
      <c r="U802" s="311">
        <f t="shared" ca="1" si="350"/>
        <v>0</v>
      </c>
      <c r="V802" s="306">
        <f t="shared" ca="1" si="351"/>
        <v>1.2257074948296744</v>
      </c>
      <c r="W802" s="304">
        <f t="shared" ca="1" si="352"/>
        <v>59.231812575045431</v>
      </c>
      <c r="Y802" s="314" t="str">
        <f t="shared" ca="1" si="370"/>
        <v/>
      </c>
      <c r="Z802" s="315" t="str">
        <f t="shared" ca="1" si="371"/>
        <v/>
      </c>
      <c r="AA802" s="316" t="str">
        <f t="shared" ca="1" si="372"/>
        <v/>
      </c>
      <c r="AC802" s="310" t="e">
        <f t="shared" ca="1" si="373"/>
        <v>#N/A</v>
      </c>
      <c r="AD802" s="323" t="e">
        <f t="shared" ca="1" si="374"/>
        <v>#N/A</v>
      </c>
      <c r="AE802" s="324" t="e">
        <f t="shared" ca="1" si="353"/>
        <v>#N/A</v>
      </c>
      <c r="AG802" s="306">
        <f t="shared" ca="1" si="375"/>
        <v>2.3373239260078833</v>
      </c>
      <c r="AH802" s="304">
        <f t="shared" ca="1" si="376"/>
        <v>-7.4252867440642625</v>
      </c>
    </row>
    <row r="803" spans="1:34" x14ac:dyDescent="0.2">
      <c r="A803" s="347">
        <f t="shared" ca="1" si="354"/>
        <v>1E-4</v>
      </c>
      <c r="B803" s="304">
        <f t="shared" ca="1" si="355"/>
        <v>33.628300000001147</v>
      </c>
      <c r="D803" s="306">
        <f t="shared" ca="1" si="356"/>
        <v>-0.72896651702066861</v>
      </c>
      <c r="E803" s="307">
        <f t="shared" ca="1" si="357"/>
        <v>-2.4205446778914093</v>
      </c>
      <c r="F803" s="304">
        <f t="shared" ca="1" si="358"/>
        <v>2.5279297301558188</v>
      </c>
      <c r="G803" s="306">
        <f t="shared" ca="1" si="359"/>
        <v>11.874265576961029</v>
      </c>
      <c r="H803" s="307">
        <f t="shared" ca="1" si="360"/>
        <v>-120.36913634741175</v>
      </c>
      <c r="I803" s="304">
        <f t="shared" ca="1" si="361"/>
        <v>120.9534090797527</v>
      </c>
      <c r="J803" s="306">
        <f t="shared" ca="1" si="362"/>
        <v>755.70453742140728</v>
      </c>
      <c r="K803" s="307">
        <f t="shared" ca="1" si="363"/>
        <v>-5.7858375788215026</v>
      </c>
      <c r="L803" s="304">
        <f t="shared" ca="1" si="348"/>
        <v>755.72668590952355</v>
      </c>
      <c r="M803" s="306">
        <f t="shared" ca="1" si="364"/>
        <v>-1.4724657177365759</v>
      </c>
      <c r="N803" s="304">
        <f t="shared" ca="1" si="365"/>
        <v>-84.366071104007361</v>
      </c>
      <c r="P803" s="310">
        <f t="shared" ca="1" si="366"/>
        <v>23</v>
      </c>
      <c r="Q803" s="304">
        <f t="shared" ca="1" si="367"/>
        <v>0</v>
      </c>
      <c r="R803" s="306">
        <f t="shared" ca="1" si="368"/>
        <v>0</v>
      </c>
      <c r="S803" s="307">
        <f t="shared" ca="1" si="369"/>
        <v>7.9769999999999968</v>
      </c>
      <c r="T803" s="304">
        <f t="shared" ca="1" si="349"/>
        <v>78.254369999999966</v>
      </c>
      <c r="U803" s="311">
        <f t="shared" ca="1" si="350"/>
        <v>0</v>
      </c>
      <c r="V803" s="306">
        <f t="shared" ca="1" si="351"/>
        <v>1.2257089702027277</v>
      </c>
      <c r="W803" s="304">
        <f t="shared" ca="1" si="352"/>
        <v>59.232112790301983</v>
      </c>
      <c r="Y803" s="314" t="str">
        <f t="shared" ca="1" si="370"/>
        <v/>
      </c>
      <c r="Z803" s="315" t="str">
        <f t="shared" ca="1" si="371"/>
        <v/>
      </c>
      <c r="AA803" s="316" t="str">
        <f t="shared" ca="1" si="372"/>
        <v/>
      </c>
      <c r="AC803" s="310" t="e">
        <f t="shared" ca="1" si="373"/>
        <v>#N/A</v>
      </c>
      <c r="AD803" s="323" t="e">
        <f t="shared" ca="1" si="374"/>
        <v>#N/A</v>
      </c>
      <c r="AE803" s="324" t="e">
        <f t="shared" ca="1" si="353"/>
        <v>#N/A</v>
      </c>
      <c r="AG803" s="306">
        <f t="shared" ca="1" si="375"/>
        <v>2.3372870574502649</v>
      </c>
      <c r="AH803" s="304">
        <f t="shared" ca="1" si="376"/>
        <v>-7.4253243794716628</v>
      </c>
    </row>
    <row r="804" spans="1:34" x14ac:dyDescent="0.2">
      <c r="A804" s="347">
        <f t="shared" ca="1" si="354"/>
        <v>1E-4</v>
      </c>
      <c r="B804" s="304">
        <f t="shared" ca="1" si="355"/>
        <v>33.62840000000115</v>
      </c>
      <c r="D804" s="306">
        <f t="shared" ca="1" si="356"/>
        <v>-0.72896432797574495</v>
      </c>
      <c r="E804" s="307">
        <f t="shared" ca="1" si="357"/>
        <v>-2.4205066441533711</v>
      </c>
      <c r="F804" s="304">
        <f t="shared" ca="1" si="358"/>
        <v>2.5278926808414441</v>
      </c>
      <c r="G804" s="306">
        <f t="shared" ca="1" si="359"/>
        <v>11.874192680528232</v>
      </c>
      <c r="H804" s="307">
        <f t="shared" ca="1" si="360"/>
        <v>-120.36937839807617</v>
      </c>
      <c r="I804" s="304">
        <f t="shared" ca="1" si="361"/>
        <v>120.95364280480996</v>
      </c>
      <c r="J804" s="306">
        <f t="shared" ca="1" si="362"/>
        <v>755.70453742140728</v>
      </c>
      <c r="K804" s="307">
        <f t="shared" ca="1" si="363"/>
        <v>-5.7978745045587772</v>
      </c>
      <c r="L804" s="304">
        <f t="shared" ca="1" si="348"/>
        <v>755.72677815998668</v>
      </c>
      <c r="M804" s="306">
        <f t="shared" ca="1" si="364"/>
        <v>-1.4724665139668738</v>
      </c>
      <c r="N804" s="304">
        <f t="shared" ca="1" si="365"/>
        <v>-84.36611672464295</v>
      </c>
      <c r="P804" s="310">
        <f t="shared" ca="1" si="366"/>
        <v>23</v>
      </c>
      <c r="Q804" s="304">
        <f t="shared" ca="1" si="367"/>
        <v>0</v>
      </c>
      <c r="R804" s="306">
        <f t="shared" ca="1" si="368"/>
        <v>0</v>
      </c>
      <c r="S804" s="307">
        <f t="shared" ca="1" si="369"/>
        <v>7.9769999999999968</v>
      </c>
      <c r="T804" s="304">
        <f t="shared" ca="1" si="349"/>
        <v>78.254369999999966</v>
      </c>
      <c r="U804" s="311">
        <f t="shared" ca="1" si="350"/>
        <v>0</v>
      </c>
      <c r="V804" s="306">
        <f t="shared" ca="1" si="351"/>
        <v>1.2257104455805243</v>
      </c>
      <c r="W804" s="304">
        <f t="shared" ca="1" si="352"/>
        <v>59.23241300317023</v>
      </c>
      <c r="Y804" s="314" t="str">
        <f t="shared" ca="1" si="370"/>
        <v/>
      </c>
      <c r="Z804" s="315" t="str">
        <f t="shared" ca="1" si="371"/>
        <v/>
      </c>
      <c r="AA804" s="316" t="str">
        <f t="shared" ca="1" si="372"/>
        <v/>
      </c>
      <c r="AC804" s="310" t="e">
        <f t="shared" ca="1" si="373"/>
        <v>#N/A</v>
      </c>
      <c r="AD804" s="323" t="e">
        <f t="shared" ca="1" si="374"/>
        <v>#N/A</v>
      </c>
      <c r="AE804" s="324" t="e">
        <f t="shared" ca="1" si="353"/>
        <v>#N/A</v>
      </c>
      <c r="AG804" s="306">
        <f t="shared" ca="1" si="375"/>
        <v>2.3372501891781834</v>
      </c>
      <c r="AH804" s="304">
        <f t="shared" ca="1" si="376"/>
        <v>-7.425362014579667</v>
      </c>
    </row>
    <row r="805" spans="1:34" x14ac:dyDescent="0.2">
      <c r="A805" s="347">
        <f t="shared" ca="1" si="354"/>
        <v>1E-4</v>
      </c>
      <c r="B805" s="304">
        <f t="shared" ca="1" si="355"/>
        <v>33.628500000001154</v>
      </c>
      <c r="D805" s="306">
        <f t="shared" ca="1" si="356"/>
        <v>-0.72896213890018369</v>
      </c>
      <c r="E805" s="307">
        <f t="shared" ca="1" si="357"/>
        <v>-2.4204686107178937</v>
      </c>
      <c r="F805" s="304">
        <f t="shared" ca="1" si="358"/>
        <v>2.5278556318390772</v>
      </c>
      <c r="G805" s="306">
        <f t="shared" ca="1" si="359"/>
        <v>11.874119784314342</v>
      </c>
      <c r="H805" s="307">
        <f t="shared" ca="1" si="360"/>
        <v>-120.36962044493724</v>
      </c>
      <c r="I805" s="304">
        <f t="shared" ca="1" si="361"/>
        <v>120.95387652618042</v>
      </c>
      <c r="J805" s="306">
        <f t="shared" ca="1" si="362"/>
        <v>755.70453742140728</v>
      </c>
      <c r="K805" s="307">
        <f t="shared" ca="1" si="363"/>
        <v>-5.8099114545009281</v>
      </c>
      <c r="L805" s="304">
        <f t="shared" ca="1" si="348"/>
        <v>755.72687060234421</v>
      </c>
      <c r="M805" s="306">
        <f t="shared" ca="1" si="364"/>
        <v>-1.4724673101892065</v>
      </c>
      <c r="N805" s="304">
        <f t="shared" ca="1" si="365"/>
        <v>-84.366162344822172</v>
      </c>
      <c r="P805" s="310">
        <f t="shared" ca="1" si="366"/>
        <v>23</v>
      </c>
      <c r="Q805" s="304">
        <f t="shared" ca="1" si="367"/>
        <v>0</v>
      </c>
      <c r="R805" s="306">
        <f t="shared" ca="1" si="368"/>
        <v>0</v>
      </c>
      <c r="S805" s="307">
        <f t="shared" ca="1" si="369"/>
        <v>7.9769999999999968</v>
      </c>
      <c r="T805" s="304">
        <f t="shared" ca="1" si="349"/>
        <v>78.254369999999966</v>
      </c>
      <c r="U805" s="311">
        <f t="shared" ca="1" si="350"/>
        <v>0</v>
      </c>
      <c r="V805" s="306">
        <f t="shared" ca="1" si="351"/>
        <v>1.2257119209630642</v>
      </c>
      <c r="W805" s="304">
        <f t="shared" ca="1" si="352"/>
        <v>59.232713213650186</v>
      </c>
      <c r="Y805" s="314" t="str">
        <f t="shared" ca="1" si="370"/>
        <v/>
      </c>
      <c r="Z805" s="315" t="str">
        <f t="shared" ca="1" si="371"/>
        <v/>
      </c>
      <c r="AA805" s="316" t="str">
        <f t="shared" ca="1" si="372"/>
        <v/>
      </c>
      <c r="AC805" s="310" t="e">
        <f t="shared" ca="1" si="373"/>
        <v>#N/A</v>
      </c>
      <c r="AD805" s="323" t="e">
        <f t="shared" ca="1" si="374"/>
        <v>#N/A</v>
      </c>
      <c r="AE805" s="324" t="e">
        <f t="shared" ca="1" si="353"/>
        <v>#N/A</v>
      </c>
      <c r="AG805" s="306">
        <f t="shared" ca="1" si="375"/>
        <v>2.3372133211916379</v>
      </c>
      <c r="AH805" s="304">
        <f t="shared" ca="1" si="376"/>
        <v>-7.4253996493882726</v>
      </c>
    </row>
    <row r="806" spans="1:34" x14ac:dyDescent="0.2">
      <c r="A806" s="347">
        <f t="shared" ca="1" si="354"/>
        <v>1E-4</v>
      </c>
      <c r="B806" s="304">
        <f t="shared" ca="1" si="355"/>
        <v>33.628600000001157</v>
      </c>
      <c r="D806" s="306">
        <f t="shared" ca="1" si="356"/>
        <v>-0.72895994979398526</v>
      </c>
      <c r="E806" s="307">
        <f t="shared" ca="1" si="357"/>
        <v>-2.4204305775849733</v>
      </c>
      <c r="F806" s="304">
        <f t="shared" ca="1" si="358"/>
        <v>2.527818583148715</v>
      </c>
      <c r="G806" s="306">
        <f t="shared" ca="1" si="359"/>
        <v>11.874046888319363</v>
      </c>
      <c r="H806" s="307">
        <f t="shared" ca="1" si="360"/>
        <v>-120.36986248799499</v>
      </c>
      <c r="I806" s="304">
        <f t="shared" ca="1" si="361"/>
        <v>120.95411024386411</v>
      </c>
      <c r="J806" s="306">
        <f t="shared" ca="1" si="362"/>
        <v>755.70453742140728</v>
      </c>
      <c r="K806" s="307">
        <f t="shared" ca="1" si="363"/>
        <v>-5.8219484286475742</v>
      </c>
      <c r="L806" s="304">
        <f t="shared" ca="1" si="348"/>
        <v>755.72696323659704</v>
      </c>
      <c r="M806" s="306">
        <f t="shared" ca="1" si="364"/>
        <v>-1.4724681064035741</v>
      </c>
      <c r="N806" s="304">
        <f t="shared" ca="1" si="365"/>
        <v>-84.366207964545026</v>
      </c>
      <c r="P806" s="310">
        <f t="shared" ca="1" si="366"/>
        <v>23</v>
      </c>
      <c r="Q806" s="304">
        <f t="shared" ca="1" si="367"/>
        <v>0</v>
      </c>
      <c r="R806" s="306">
        <f t="shared" ca="1" si="368"/>
        <v>0</v>
      </c>
      <c r="S806" s="307">
        <f t="shared" ca="1" si="369"/>
        <v>7.9769999999999968</v>
      </c>
      <c r="T806" s="304">
        <f t="shared" ca="1" si="349"/>
        <v>78.254369999999966</v>
      </c>
      <c r="U806" s="311">
        <f t="shared" ca="1" si="350"/>
        <v>0</v>
      </c>
      <c r="V806" s="306">
        <f t="shared" ca="1" si="351"/>
        <v>1.2257133963503477</v>
      </c>
      <c r="W806" s="304">
        <f t="shared" ca="1" si="352"/>
        <v>59.233013421741845</v>
      </c>
      <c r="Y806" s="314" t="str">
        <f t="shared" ca="1" si="370"/>
        <v/>
      </c>
      <c r="Z806" s="315" t="str">
        <f t="shared" ca="1" si="371"/>
        <v/>
      </c>
      <c r="AA806" s="316" t="str">
        <f t="shared" ca="1" si="372"/>
        <v/>
      </c>
      <c r="AC806" s="310" t="e">
        <f t="shared" ca="1" si="373"/>
        <v>#N/A</v>
      </c>
      <c r="AD806" s="323" t="e">
        <f t="shared" ca="1" si="374"/>
        <v>#N/A</v>
      </c>
      <c r="AE806" s="324" t="e">
        <f t="shared" ca="1" si="353"/>
        <v>#N/A</v>
      </c>
      <c r="AG806" s="306">
        <f t="shared" ca="1" si="375"/>
        <v>2.3371764534906285</v>
      </c>
      <c r="AH806" s="304">
        <f t="shared" ca="1" si="376"/>
        <v>-7.4254372838974811</v>
      </c>
    </row>
    <row r="807" spans="1:34" x14ac:dyDescent="0.2">
      <c r="A807" s="347">
        <f t="shared" ca="1" si="354"/>
        <v>1E-4</v>
      </c>
      <c r="B807" s="304">
        <f t="shared" ca="1" si="355"/>
        <v>33.62870000000116</v>
      </c>
      <c r="D807" s="306">
        <f t="shared" ca="1" si="356"/>
        <v>-0.72895776065715112</v>
      </c>
      <c r="E807" s="307">
        <f t="shared" ca="1" si="357"/>
        <v>-2.4203925447546135</v>
      </c>
      <c r="F807" s="304">
        <f t="shared" ca="1" si="358"/>
        <v>2.5277815347703609</v>
      </c>
      <c r="G807" s="306">
        <f t="shared" ca="1" si="359"/>
        <v>11.873973992543297</v>
      </c>
      <c r="H807" s="307">
        <f t="shared" ca="1" si="360"/>
        <v>-120.37010452724947</v>
      </c>
      <c r="I807" s="304">
        <f t="shared" ca="1" si="361"/>
        <v>120.95434395786104</v>
      </c>
      <c r="J807" s="306">
        <f t="shared" ca="1" si="362"/>
        <v>755.70453742140728</v>
      </c>
      <c r="K807" s="307">
        <f t="shared" ca="1" si="363"/>
        <v>-5.8339854269983364</v>
      </c>
      <c r="L807" s="304">
        <f t="shared" ca="1" si="348"/>
        <v>755.72705606274656</v>
      </c>
      <c r="M807" s="306">
        <f t="shared" ca="1" si="364"/>
        <v>-1.4724689026099766</v>
      </c>
      <c r="N807" s="304">
        <f t="shared" ca="1" si="365"/>
        <v>-84.366253583811513</v>
      </c>
      <c r="P807" s="310">
        <f t="shared" ca="1" si="366"/>
        <v>23</v>
      </c>
      <c r="Q807" s="304">
        <f t="shared" ca="1" si="367"/>
        <v>0</v>
      </c>
      <c r="R807" s="306">
        <f t="shared" ca="1" si="368"/>
        <v>0</v>
      </c>
      <c r="S807" s="307">
        <f t="shared" ca="1" si="369"/>
        <v>7.9769999999999968</v>
      </c>
      <c r="T807" s="304">
        <f t="shared" ca="1" si="349"/>
        <v>78.254369999999966</v>
      </c>
      <c r="U807" s="311">
        <f t="shared" ca="1" si="350"/>
        <v>0</v>
      </c>
      <c r="V807" s="306">
        <f t="shared" ca="1" si="351"/>
        <v>1.2257148717423736</v>
      </c>
      <c r="W807" s="304">
        <f t="shared" ca="1" si="352"/>
        <v>59.233313627445163</v>
      </c>
      <c r="Y807" s="314" t="str">
        <f t="shared" ca="1" si="370"/>
        <v/>
      </c>
      <c r="Z807" s="315" t="str">
        <f t="shared" ca="1" si="371"/>
        <v/>
      </c>
      <c r="AA807" s="316" t="str">
        <f t="shared" ca="1" si="372"/>
        <v/>
      </c>
      <c r="AC807" s="310" t="e">
        <f t="shared" ca="1" si="373"/>
        <v>#N/A</v>
      </c>
      <c r="AD807" s="323" t="e">
        <f t="shared" ca="1" si="374"/>
        <v>#N/A</v>
      </c>
      <c r="AE807" s="324" t="e">
        <f t="shared" ca="1" si="353"/>
        <v>#N/A</v>
      </c>
      <c r="AG807" s="306">
        <f t="shared" ca="1" si="375"/>
        <v>2.3371395860751578</v>
      </c>
      <c r="AH807" s="304">
        <f t="shared" ca="1" si="376"/>
        <v>-7.4254749181072919</v>
      </c>
    </row>
    <row r="808" spans="1:34" x14ac:dyDescent="0.2">
      <c r="A808" s="347">
        <f t="shared" ca="1" si="354"/>
        <v>1E-4</v>
      </c>
      <c r="B808" s="304">
        <f t="shared" ca="1" si="355"/>
        <v>33.628800000001164</v>
      </c>
      <c r="D808" s="306">
        <f t="shared" ca="1" si="356"/>
        <v>-0.72895557148968049</v>
      </c>
      <c r="E808" s="307">
        <f t="shared" ca="1" si="357"/>
        <v>-2.420354512226818</v>
      </c>
      <c r="F808" s="304">
        <f t="shared" ca="1" si="358"/>
        <v>2.5277444867040191</v>
      </c>
      <c r="G808" s="306">
        <f t="shared" ca="1" si="359"/>
        <v>11.873901096986147</v>
      </c>
      <c r="H808" s="307">
        <f t="shared" ca="1" si="360"/>
        <v>-120.37034656270069</v>
      </c>
      <c r="I808" s="304">
        <f t="shared" ca="1" si="361"/>
        <v>120.95457766817128</v>
      </c>
      <c r="J808" s="306">
        <f t="shared" ca="1" si="362"/>
        <v>755.70453742140728</v>
      </c>
      <c r="K808" s="307">
        <f t="shared" ca="1" si="363"/>
        <v>-5.8460224495528337</v>
      </c>
      <c r="L808" s="304">
        <f t="shared" ca="1" si="348"/>
        <v>755.72714908079354</v>
      </c>
      <c r="M808" s="306">
        <f t="shared" ca="1" si="364"/>
        <v>-1.4724696988084145</v>
      </c>
      <c r="N808" s="304">
        <f t="shared" ca="1" si="365"/>
        <v>-84.366299202621647</v>
      </c>
      <c r="P808" s="310">
        <f t="shared" ca="1" si="366"/>
        <v>23</v>
      </c>
      <c r="Q808" s="304">
        <f t="shared" ca="1" si="367"/>
        <v>0</v>
      </c>
      <c r="R808" s="306">
        <f t="shared" ca="1" si="368"/>
        <v>0</v>
      </c>
      <c r="S808" s="307">
        <f t="shared" ca="1" si="369"/>
        <v>7.9769999999999968</v>
      </c>
      <c r="T808" s="304">
        <f t="shared" ca="1" si="349"/>
        <v>78.254369999999966</v>
      </c>
      <c r="U808" s="311">
        <f t="shared" ca="1" si="350"/>
        <v>0</v>
      </c>
      <c r="V808" s="306">
        <f t="shared" ca="1" si="351"/>
        <v>1.2257163471391432</v>
      </c>
      <c r="W808" s="304">
        <f t="shared" ca="1" si="352"/>
        <v>59.233613830760234</v>
      </c>
      <c r="Y808" s="314" t="str">
        <f t="shared" ca="1" si="370"/>
        <v/>
      </c>
      <c r="Z808" s="315" t="str">
        <f t="shared" ca="1" si="371"/>
        <v/>
      </c>
      <c r="AA808" s="316" t="str">
        <f t="shared" ca="1" si="372"/>
        <v/>
      </c>
      <c r="AC808" s="310" t="e">
        <f t="shared" ca="1" si="373"/>
        <v>#N/A</v>
      </c>
      <c r="AD808" s="323" t="e">
        <f t="shared" ca="1" si="374"/>
        <v>#N/A</v>
      </c>
      <c r="AE808" s="324" t="e">
        <f t="shared" ca="1" si="353"/>
        <v>#N/A</v>
      </c>
      <c r="AG808" s="306">
        <f t="shared" ca="1" si="375"/>
        <v>2.3371027189452311</v>
      </c>
      <c r="AH808" s="304">
        <f t="shared" ca="1" si="376"/>
        <v>-7.4255125520176994</v>
      </c>
    </row>
    <row r="809" spans="1:34" x14ac:dyDescent="0.2">
      <c r="A809" s="347">
        <f t="shared" ca="1" si="354"/>
        <v>1E-4</v>
      </c>
      <c r="B809" s="304">
        <f t="shared" ca="1" si="355"/>
        <v>33.628900000001167</v>
      </c>
      <c r="D809" s="306">
        <f t="shared" ca="1" si="356"/>
        <v>-0.72895338229157469</v>
      </c>
      <c r="E809" s="307">
        <f t="shared" ca="1" si="357"/>
        <v>-2.4203164800015751</v>
      </c>
      <c r="F809" s="304">
        <f t="shared" ca="1" si="358"/>
        <v>2.5277074389496783</v>
      </c>
      <c r="G809" s="306">
        <f t="shared" ca="1" si="359"/>
        <v>11.873828201647918</v>
      </c>
      <c r="H809" s="307">
        <f t="shared" ca="1" si="360"/>
        <v>-120.37058859434869</v>
      </c>
      <c r="I809" s="304">
        <f t="shared" ca="1" si="361"/>
        <v>120.95481137479483</v>
      </c>
      <c r="J809" s="306">
        <f t="shared" ca="1" si="362"/>
        <v>755.70453742140728</v>
      </c>
      <c r="K809" s="307">
        <f t="shared" ca="1" si="363"/>
        <v>-5.8580594963106858</v>
      </c>
      <c r="L809" s="304">
        <f t="shared" ca="1" si="348"/>
        <v>755.72724229073913</v>
      </c>
      <c r="M809" s="306">
        <f t="shared" ca="1" si="364"/>
        <v>-1.4724704949988874</v>
      </c>
      <c r="N809" s="304">
        <f t="shared" ca="1" si="365"/>
        <v>-84.366344820975442</v>
      </c>
      <c r="P809" s="310">
        <f t="shared" ca="1" si="366"/>
        <v>23</v>
      </c>
      <c r="Q809" s="304">
        <f t="shared" ca="1" si="367"/>
        <v>0</v>
      </c>
      <c r="R809" s="306">
        <f t="shared" ca="1" si="368"/>
        <v>0</v>
      </c>
      <c r="S809" s="307">
        <f t="shared" ca="1" si="369"/>
        <v>7.9769999999999968</v>
      </c>
      <c r="T809" s="304">
        <f t="shared" ca="1" si="349"/>
        <v>78.254369999999966</v>
      </c>
      <c r="U809" s="311">
        <f t="shared" ca="1" si="350"/>
        <v>0</v>
      </c>
      <c r="V809" s="306">
        <f t="shared" ca="1" si="351"/>
        <v>1.2257178225406555</v>
      </c>
      <c r="W809" s="304">
        <f t="shared" ca="1" si="352"/>
        <v>59.233914031686943</v>
      </c>
      <c r="Y809" s="314" t="str">
        <f t="shared" ca="1" si="370"/>
        <v/>
      </c>
      <c r="Z809" s="315" t="str">
        <f t="shared" ca="1" si="371"/>
        <v/>
      </c>
      <c r="AA809" s="316" t="str">
        <f t="shared" ca="1" si="372"/>
        <v/>
      </c>
      <c r="AC809" s="310" t="e">
        <f t="shared" ca="1" si="373"/>
        <v>#N/A</v>
      </c>
      <c r="AD809" s="323" t="e">
        <f t="shared" ca="1" si="374"/>
        <v>#N/A</v>
      </c>
      <c r="AE809" s="324" t="e">
        <f t="shared" ca="1" si="353"/>
        <v>#N/A</v>
      </c>
      <c r="AG809" s="306">
        <f t="shared" ca="1" si="375"/>
        <v>2.3370658521008378</v>
      </c>
      <c r="AH809" s="304">
        <f t="shared" ca="1" si="376"/>
        <v>-7.4255501856287145</v>
      </c>
    </row>
    <row r="810" spans="1:34" x14ac:dyDescent="0.2">
      <c r="A810" s="347">
        <f t="shared" ca="1" si="354"/>
        <v>1E-4</v>
      </c>
      <c r="B810" s="304">
        <f t="shared" ca="1" si="355"/>
        <v>33.62900000000117</v>
      </c>
      <c r="D810" s="306">
        <f t="shared" ca="1" si="356"/>
        <v>-0.7289511930628354</v>
      </c>
      <c r="E810" s="307">
        <f t="shared" ca="1" si="357"/>
        <v>-2.4202784480789008</v>
      </c>
      <c r="F810" s="304">
        <f t="shared" ca="1" si="358"/>
        <v>2.5276703915073546</v>
      </c>
      <c r="G810" s="306">
        <f t="shared" ca="1" si="359"/>
        <v>11.873755306528611</v>
      </c>
      <c r="H810" s="307">
        <f t="shared" ca="1" si="360"/>
        <v>-120.37083062219349</v>
      </c>
      <c r="I810" s="304">
        <f t="shared" ca="1" si="361"/>
        <v>120.95504507773171</v>
      </c>
      <c r="J810" s="306">
        <f t="shared" ca="1" si="362"/>
        <v>755.70453742140728</v>
      </c>
      <c r="K810" s="307">
        <f t="shared" ca="1" si="363"/>
        <v>-5.8700965672715126</v>
      </c>
      <c r="L810" s="304">
        <f t="shared" ca="1" si="348"/>
        <v>755.72733569258446</v>
      </c>
      <c r="M810" s="306">
        <f t="shared" ca="1" si="364"/>
        <v>-1.4724712911813957</v>
      </c>
      <c r="N810" s="304">
        <f t="shared" ca="1" si="365"/>
        <v>-84.366390438872884</v>
      </c>
      <c r="P810" s="310">
        <f t="shared" ca="1" si="366"/>
        <v>23</v>
      </c>
      <c r="Q810" s="304">
        <f t="shared" ca="1" si="367"/>
        <v>0</v>
      </c>
      <c r="R810" s="306">
        <f t="shared" ca="1" si="368"/>
        <v>0</v>
      </c>
      <c r="S810" s="307">
        <f t="shared" ca="1" si="369"/>
        <v>7.9769999999999968</v>
      </c>
      <c r="T810" s="304">
        <f t="shared" ca="1" si="349"/>
        <v>78.254369999999966</v>
      </c>
      <c r="U810" s="311">
        <f t="shared" ca="1" si="350"/>
        <v>0</v>
      </c>
      <c r="V810" s="306">
        <f t="shared" ca="1" si="351"/>
        <v>1.2257192979469114</v>
      </c>
      <c r="W810" s="304">
        <f t="shared" ca="1" si="352"/>
        <v>59.234214230225362</v>
      </c>
      <c r="Y810" s="314" t="str">
        <f t="shared" ca="1" si="370"/>
        <v/>
      </c>
      <c r="Z810" s="315" t="str">
        <f t="shared" ca="1" si="371"/>
        <v/>
      </c>
      <c r="AA810" s="316" t="str">
        <f t="shared" ca="1" si="372"/>
        <v/>
      </c>
      <c r="AC810" s="310" t="e">
        <f t="shared" ca="1" si="373"/>
        <v>#N/A</v>
      </c>
      <c r="AD810" s="323" t="e">
        <f t="shared" ca="1" si="374"/>
        <v>#N/A</v>
      </c>
      <c r="AE810" s="324" t="e">
        <f t="shared" ca="1" si="353"/>
        <v>#N/A</v>
      </c>
      <c r="AG810" s="306">
        <f t="shared" ca="1" si="375"/>
        <v>2.3370289855419886</v>
      </c>
      <c r="AH810" s="304">
        <f t="shared" ca="1" si="376"/>
        <v>-7.4255878189403246</v>
      </c>
    </row>
    <row r="811" spans="1:34" x14ac:dyDescent="0.2">
      <c r="A811" s="347">
        <f t="shared" ca="1" si="354"/>
        <v>1E-4</v>
      </c>
      <c r="B811" s="304">
        <f t="shared" ca="1" si="355"/>
        <v>33.629100000001173</v>
      </c>
      <c r="D811" s="306">
        <f t="shared" ca="1" si="356"/>
        <v>-0.72894900380346206</v>
      </c>
      <c r="E811" s="307">
        <f t="shared" ca="1" si="357"/>
        <v>-2.4202404164587836</v>
      </c>
      <c r="F811" s="304">
        <f t="shared" ca="1" si="358"/>
        <v>2.5276333443770373</v>
      </c>
      <c r="G811" s="306">
        <f t="shared" ca="1" si="359"/>
        <v>11.873682411628231</v>
      </c>
      <c r="H811" s="307">
        <f t="shared" ca="1" si="360"/>
        <v>-120.37107264623513</v>
      </c>
      <c r="I811" s="304">
        <f t="shared" ca="1" si="361"/>
        <v>120.95527877698197</v>
      </c>
      <c r="J811" s="306">
        <f t="shared" ca="1" si="362"/>
        <v>755.70453742140728</v>
      </c>
      <c r="K811" s="307">
        <f t="shared" ca="1" si="363"/>
        <v>-5.8821336624349341</v>
      </c>
      <c r="L811" s="304">
        <f t="shared" ca="1" si="348"/>
        <v>755.72742928633068</v>
      </c>
      <c r="M811" s="306">
        <f t="shared" ca="1" si="364"/>
        <v>-1.4724720873559396</v>
      </c>
      <c r="N811" s="304">
        <f t="shared" ca="1" si="365"/>
        <v>-84.366436056314015</v>
      </c>
      <c r="P811" s="310">
        <f t="shared" ca="1" si="366"/>
        <v>23</v>
      </c>
      <c r="Q811" s="304">
        <f t="shared" ca="1" si="367"/>
        <v>0</v>
      </c>
      <c r="R811" s="306">
        <f t="shared" ca="1" si="368"/>
        <v>0</v>
      </c>
      <c r="S811" s="307">
        <f t="shared" ca="1" si="369"/>
        <v>7.9769999999999968</v>
      </c>
      <c r="T811" s="304">
        <f t="shared" ca="1" si="349"/>
        <v>78.254369999999966</v>
      </c>
      <c r="U811" s="311">
        <f t="shared" ca="1" si="350"/>
        <v>0</v>
      </c>
      <c r="V811" s="306">
        <f t="shared" ca="1" si="351"/>
        <v>1.2257207733579101</v>
      </c>
      <c r="W811" s="304">
        <f t="shared" ca="1" si="352"/>
        <v>59.234514426375469</v>
      </c>
      <c r="Y811" s="314" t="str">
        <f t="shared" ca="1" si="370"/>
        <v/>
      </c>
      <c r="Z811" s="315" t="str">
        <f t="shared" ca="1" si="371"/>
        <v/>
      </c>
      <c r="AA811" s="316" t="str">
        <f t="shared" ca="1" si="372"/>
        <v/>
      </c>
      <c r="AC811" s="310" t="e">
        <f t="shared" ca="1" si="373"/>
        <v>#N/A</v>
      </c>
      <c r="AD811" s="323" t="e">
        <f t="shared" ca="1" si="374"/>
        <v>#N/A</v>
      </c>
      <c r="AE811" s="324" t="e">
        <f t="shared" ca="1" si="353"/>
        <v>#N/A</v>
      </c>
      <c r="AG811" s="306">
        <f t="shared" ca="1" si="375"/>
        <v>2.3369921192686816</v>
      </c>
      <c r="AH811" s="304">
        <f t="shared" ca="1" si="376"/>
        <v>-7.4256254519525369</v>
      </c>
    </row>
    <row r="812" spans="1:34" x14ac:dyDescent="0.2">
      <c r="A812" s="347">
        <f t="shared" ca="1" si="354"/>
        <v>1E-4</v>
      </c>
      <c r="B812" s="304">
        <f t="shared" ca="1" si="355"/>
        <v>33.629200000001177</v>
      </c>
      <c r="D812" s="306">
        <f t="shared" ca="1" si="356"/>
        <v>-0.728946814513456</v>
      </c>
      <c r="E812" s="307">
        <f t="shared" ca="1" si="357"/>
        <v>-2.420202385141228</v>
      </c>
      <c r="F812" s="304">
        <f t="shared" ca="1" si="358"/>
        <v>2.5275962975587309</v>
      </c>
      <c r="G812" s="306">
        <f t="shared" ca="1" si="359"/>
        <v>11.873609516946779</v>
      </c>
      <c r="H812" s="307">
        <f t="shared" ca="1" si="360"/>
        <v>-120.37131466647365</v>
      </c>
      <c r="I812" s="304">
        <f t="shared" ca="1" si="361"/>
        <v>120.95551247254564</v>
      </c>
      <c r="J812" s="306">
        <f t="shared" ca="1" si="362"/>
        <v>755.70453742140728</v>
      </c>
      <c r="K812" s="307">
        <f t="shared" ca="1" si="363"/>
        <v>-5.8941707818005691</v>
      </c>
      <c r="L812" s="304">
        <f t="shared" ca="1" si="348"/>
        <v>755.72752307197879</v>
      </c>
      <c r="M812" s="306">
        <f t="shared" ca="1" si="364"/>
        <v>-1.4724728835225191</v>
      </c>
      <c r="N812" s="304">
        <f t="shared" ca="1" si="365"/>
        <v>-84.366481673298807</v>
      </c>
      <c r="P812" s="310">
        <f t="shared" ca="1" si="366"/>
        <v>23</v>
      </c>
      <c r="Q812" s="304">
        <f t="shared" ca="1" si="367"/>
        <v>0</v>
      </c>
      <c r="R812" s="306">
        <f t="shared" ca="1" si="368"/>
        <v>0</v>
      </c>
      <c r="S812" s="307">
        <f t="shared" ca="1" si="369"/>
        <v>7.9769999999999968</v>
      </c>
      <c r="T812" s="304">
        <f t="shared" ca="1" si="349"/>
        <v>78.254369999999966</v>
      </c>
      <c r="U812" s="311">
        <f t="shared" ca="1" si="350"/>
        <v>0</v>
      </c>
      <c r="V812" s="306">
        <f t="shared" ca="1" si="351"/>
        <v>1.2257222487736517</v>
      </c>
      <c r="W812" s="304">
        <f t="shared" ca="1" si="352"/>
        <v>59.234814620137236</v>
      </c>
      <c r="Y812" s="314" t="str">
        <f t="shared" ca="1" si="370"/>
        <v/>
      </c>
      <c r="Z812" s="315" t="str">
        <f t="shared" ca="1" si="371"/>
        <v/>
      </c>
      <c r="AA812" s="316" t="str">
        <f t="shared" ca="1" si="372"/>
        <v/>
      </c>
      <c r="AC812" s="310" t="e">
        <f t="shared" ca="1" si="373"/>
        <v>#N/A</v>
      </c>
      <c r="AD812" s="323" t="e">
        <f t="shared" ca="1" si="374"/>
        <v>#N/A</v>
      </c>
      <c r="AE812" s="324" t="e">
        <f t="shared" ca="1" si="353"/>
        <v>#N/A</v>
      </c>
      <c r="AG812" s="306">
        <f t="shared" ca="1" si="375"/>
        <v>2.3369552532809132</v>
      </c>
      <c r="AH812" s="304">
        <f t="shared" ca="1" si="376"/>
        <v>-7.4256630846653495</v>
      </c>
    </row>
    <row r="813" spans="1:34" x14ac:dyDescent="0.2">
      <c r="A813" s="347">
        <f t="shared" ca="1" si="354"/>
        <v>1E-4</v>
      </c>
      <c r="B813" s="304">
        <f t="shared" ca="1" si="355"/>
        <v>33.62930000000118</v>
      </c>
      <c r="D813" s="306">
        <f t="shared" ca="1" si="356"/>
        <v>-0.72894462519281666</v>
      </c>
      <c r="E813" s="307">
        <f t="shared" ca="1" si="357"/>
        <v>-2.4201643541262374</v>
      </c>
      <c r="F813" s="304">
        <f t="shared" ca="1" si="358"/>
        <v>2.5275592510524385</v>
      </c>
      <c r="G813" s="306">
        <f t="shared" ca="1" si="359"/>
        <v>11.873536622484259</v>
      </c>
      <c r="H813" s="307">
        <f t="shared" ca="1" si="360"/>
        <v>-120.37155668290906</v>
      </c>
      <c r="I813" s="304">
        <f t="shared" ca="1" si="361"/>
        <v>120.95574616442272</v>
      </c>
      <c r="J813" s="306">
        <f t="shared" ca="1" si="362"/>
        <v>755.70453742140728</v>
      </c>
      <c r="K813" s="307">
        <f t="shared" ca="1" si="363"/>
        <v>-5.9062079253680384</v>
      </c>
      <c r="L813" s="304">
        <f t="shared" ca="1" si="348"/>
        <v>755.72761704952984</v>
      </c>
      <c r="M813" s="306">
        <f t="shared" ca="1" si="364"/>
        <v>-1.4724736796811344</v>
      </c>
      <c r="N813" s="304">
        <f t="shared" ca="1" si="365"/>
        <v>-84.366527289827289</v>
      </c>
      <c r="P813" s="310">
        <f t="shared" ca="1" si="366"/>
        <v>23</v>
      </c>
      <c r="Q813" s="304">
        <f t="shared" ca="1" si="367"/>
        <v>0</v>
      </c>
      <c r="R813" s="306">
        <f t="shared" ca="1" si="368"/>
        <v>0</v>
      </c>
      <c r="S813" s="307">
        <f t="shared" ca="1" si="369"/>
        <v>7.9769999999999968</v>
      </c>
      <c r="T813" s="304">
        <f t="shared" ca="1" si="349"/>
        <v>78.254369999999966</v>
      </c>
      <c r="U813" s="311">
        <f t="shared" ca="1" si="350"/>
        <v>0</v>
      </c>
      <c r="V813" s="306">
        <f t="shared" ca="1" si="351"/>
        <v>1.2257237241941361</v>
      </c>
      <c r="W813" s="304">
        <f t="shared" ca="1" si="352"/>
        <v>59.235114811510691</v>
      </c>
      <c r="Y813" s="314" t="str">
        <f t="shared" ca="1" si="370"/>
        <v/>
      </c>
      <c r="Z813" s="315" t="str">
        <f t="shared" ca="1" si="371"/>
        <v/>
      </c>
      <c r="AA813" s="316" t="str">
        <f t="shared" ca="1" si="372"/>
        <v/>
      </c>
      <c r="AC813" s="310" t="e">
        <f t="shared" ca="1" si="373"/>
        <v>#N/A</v>
      </c>
      <c r="AD813" s="323" t="e">
        <f t="shared" ca="1" si="374"/>
        <v>#N/A</v>
      </c>
      <c r="AE813" s="324" t="e">
        <f t="shared" ca="1" si="353"/>
        <v>#N/A</v>
      </c>
      <c r="AG813" s="306">
        <f t="shared" ca="1" si="375"/>
        <v>2.336918387578689</v>
      </c>
      <c r="AH813" s="304">
        <f t="shared" ca="1" si="376"/>
        <v>-7.425700717078759</v>
      </c>
    </row>
    <row r="814" spans="1:34" x14ac:dyDescent="0.2">
      <c r="A814" s="347">
        <f t="shared" ca="1" si="354"/>
        <v>1E-4</v>
      </c>
      <c r="B814" s="304">
        <f t="shared" ca="1" si="355"/>
        <v>33.629400000001183</v>
      </c>
      <c r="D814" s="306">
        <f t="shared" ca="1" si="356"/>
        <v>-0.72894243584154605</v>
      </c>
      <c r="E814" s="307">
        <f t="shared" ca="1" si="357"/>
        <v>-2.4201263234138075</v>
      </c>
      <c r="F814" s="304">
        <f t="shared" ca="1" si="358"/>
        <v>2.5275222048581569</v>
      </c>
      <c r="G814" s="306">
        <f t="shared" ca="1" si="359"/>
        <v>11.873463728240676</v>
      </c>
      <c r="H814" s="307">
        <f t="shared" ca="1" si="360"/>
        <v>-120.3717986955414</v>
      </c>
      <c r="I814" s="304">
        <f t="shared" ca="1" si="361"/>
        <v>120.95597985261328</v>
      </c>
      <c r="J814" s="306">
        <f t="shared" ca="1" si="362"/>
        <v>755.70453742140728</v>
      </c>
      <c r="K814" s="307">
        <f t="shared" ca="1" si="363"/>
        <v>-5.918245093136961</v>
      </c>
      <c r="L814" s="304">
        <f t="shared" ca="1" si="348"/>
        <v>755.72771121898495</v>
      </c>
      <c r="M814" s="306">
        <f t="shared" ca="1" si="364"/>
        <v>-1.4724744758317854</v>
      </c>
      <c r="N814" s="304">
        <f t="shared" ca="1" si="365"/>
        <v>-84.366572905899446</v>
      </c>
      <c r="P814" s="310">
        <f t="shared" ca="1" si="366"/>
        <v>23</v>
      </c>
      <c r="Q814" s="304">
        <f t="shared" ca="1" si="367"/>
        <v>0</v>
      </c>
      <c r="R814" s="306">
        <f t="shared" ca="1" si="368"/>
        <v>0</v>
      </c>
      <c r="S814" s="307">
        <f t="shared" ca="1" si="369"/>
        <v>7.9769999999999968</v>
      </c>
      <c r="T814" s="304">
        <f t="shared" ca="1" si="349"/>
        <v>78.254369999999966</v>
      </c>
      <c r="U814" s="311">
        <f t="shared" ca="1" si="350"/>
        <v>0</v>
      </c>
      <c r="V814" s="306">
        <f t="shared" ca="1" si="351"/>
        <v>1.2257251996193639</v>
      </c>
      <c r="W814" s="304">
        <f t="shared" ca="1" si="352"/>
        <v>59.235415000495841</v>
      </c>
      <c r="Y814" s="314" t="str">
        <f t="shared" ca="1" si="370"/>
        <v/>
      </c>
      <c r="Z814" s="315" t="str">
        <f t="shared" ca="1" si="371"/>
        <v/>
      </c>
      <c r="AA814" s="316" t="str">
        <f t="shared" ca="1" si="372"/>
        <v/>
      </c>
      <c r="AC814" s="310" t="e">
        <f t="shared" ca="1" si="373"/>
        <v>#N/A</v>
      </c>
      <c r="AD814" s="323" t="e">
        <f t="shared" ca="1" si="374"/>
        <v>#N/A</v>
      </c>
      <c r="AE814" s="324" t="e">
        <f t="shared" ca="1" si="353"/>
        <v>#N/A</v>
      </c>
      <c r="AG814" s="306">
        <f t="shared" ca="1" si="375"/>
        <v>2.3368815221620105</v>
      </c>
      <c r="AH814" s="304">
        <f t="shared" ca="1" si="376"/>
        <v>-7.4257383491927689</v>
      </c>
    </row>
    <row r="815" spans="1:34" x14ac:dyDescent="0.2">
      <c r="A815" s="347">
        <f t="shared" ca="1" si="354"/>
        <v>1E-4</v>
      </c>
      <c r="B815" s="304">
        <f t="shared" ca="1" si="355"/>
        <v>33.629500000001187</v>
      </c>
      <c r="D815" s="306">
        <f t="shared" ca="1" si="356"/>
        <v>-0.72894024645964595</v>
      </c>
      <c r="E815" s="307">
        <f t="shared" ca="1" si="357"/>
        <v>-2.4200882930039382</v>
      </c>
      <c r="F815" s="304">
        <f t="shared" ca="1" si="358"/>
        <v>2.5274851589758871</v>
      </c>
      <c r="G815" s="306">
        <f t="shared" ca="1" si="359"/>
        <v>11.87339083421603</v>
      </c>
      <c r="H815" s="307">
        <f t="shared" ca="1" si="360"/>
        <v>-120.3720407043707</v>
      </c>
      <c r="I815" s="304">
        <f t="shared" ca="1" si="361"/>
        <v>120.95621353711732</v>
      </c>
      <c r="J815" s="306">
        <f t="shared" ca="1" si="362"/>
        <v>755.70453742140728</v>
      </c>
      <c r="K815" s="307">
        <f t="shared" ca="1" si="363"/>
        <v>-5.9302822851069568</v>
      </c>
      <c r="L815" s="304">
        <f t="shared" ca="1" si="348"/>
        <v>755.72780558034526</v>
      </c>
      <c r="M815" s="306">
        <f t="shared" ca="1" si="364"/>
        <v>-1.4724752719744723</v>
      </c>
      <c r="N815" s="304">
        <f t="shared" ca="1" si="365"/>
        <v>-84.366618521515292</v>
      </c>
      <c r="P815" s="310">
        <f t="shared" ca="1" si="366"/>
        <v>23</v>
      </c>
      <c r="Q815" s="304">
        <f t="shared" ca="1" si="367"/>
        <v>0</v>
      </c>
      <c r="R815" s="306">
        <f t="shared" ca="1" si="368"/>
        <v>0</v>
      </c>
      <c r="S815" s="307">
        <f t="shared" ca="1" si="369"/>
        <v>7.9769999999999968</v>
      </c>
      <c r="T815" s="304">
        <f t="shared" ca="1" si="349"/>
        <v>78.254369999999966</v>
      </c>
      <c r="U815" s="311">
        <f t="shared" ca="1" si="350"/>
        <v>0</v>
      </c>
      <c r="V815" s="306">
        <f t="shared" ca="1" si="351"/>
        <v>1.2257266750493343</v>
      </c>
      <c r="W815" s="304">
        <f t="shared" ca="1" si="352"/>
        <v>59.23571518709263</v>
      </c>
      <c r="Y815" s="314" t="str">
        <f t="shared" ca="1" si="370"/>
        <v/>
      </c>
      <c r="Z815" s="315" t="str">
        <f t="shared" ca="1" si="371"/>
        <v/>
      </c>
      <c r="AA815" s="316" t="str">
        <f t="shared" ca="1" si="372"/>
        <v/>
      </c>
      <c r="AC815" s="310" t="e">
        <f t="shared" ca="1" si="373"/>
        <v>#N/A</v>
      </c>
      <c r="AD815" s="323" t="e">
        <f t="shared" ca="1" si="374"/>
        <v>#N/A</v>
      </c>
      <c r="AE815" s="324" t="e">
        <f t="shared" ca="1" si="353"/>
        <v>#N/A</v>
      </c>
      <c r="AG815" s="306">
        <f t="shared" ca="1" si="375"/>
        <v>2.3368446570308707</v>
      </c>
      <c r="AH815" s="304">
        <f t="shared" ca="1" si="376"/>
        <v>-7.4257759810073791</v>
      </c>
    </row>
    <row r="816" spans="1:34" x14ac:dyDescent="0.2">
      <c r="A816" s="347">
        <f t="shared" ca="1" si="354"/>
        <v>1E-4</v>
      </c>
      <c r="B816" s="304">
        <f t="shared" ca="1" si="355"/>
        <v>33.62960000000119</v>
      </c>
      <c r="D816" s="306">
        <f t="shared" ca="1" si="356"/>
        <v>-0.72893805704711578</v>
      </c>
      <c r="E816" s="307">
        <f t="shared" ca="1" si="357"/>
        <v>-2.4200502628966358</v>
      </c>
      <c r="F816" s="304">
        <f t="shared" ca="1" si="358"/>
        <v>2.5274481134056344</v>
      </c>
      <c r="G816" s="306">
        <f t="shared" ca="1" si="359"/>
        <v>11.873317940410326</v>
      </c>
      <c r="H816" s="307">
        <f t="shared" ca="1" si="360"/>
        <v>-120.372282709397</v>
      </c>
      <c r="I816" s="304">
        <f t="shared" ca="1" si="361"/>
        <v>120.95644721793488</v>
      </c>
      <c r="J816" s="306">
        <f t="shared" ca="1" si="362"/>
        <v>755.70453742140728</v>
      </c>
      <c r="K816" s="307">
        <f t="shared" ca="1" si="363"/>
        <v>-5.9423195012776455</v>
      </c>
      <c r="L816" s="304">
        <f t="shared" ca="1" si="348"/>
        <v>755.7279001336118</v>
      </c>
      <c r="M816" s="306">
        <f t="shared" ca="1" si="364"/>
        <v>-1.4724760681091955</v>
      </c>
      <c r="N816" s="304">
        <f t="shared" ca="1" si="365"/>
        <v>-84.366664136674856</v>
      </c>
      <c r="P816" s="310">
        <f t="shared" ca="1" si="366"/>
        <v>23</v>
      </c>
      <c r="Q816" s="304">
        <f t="shared" ca="1" si="367"/>
        <v>0</v>
      </c>
      <c r="R816" s="306">
        <f t="shared" ca="1" si="368"/>
        <v>0</v>
      </c>
      <c r="S816" s="307">
        <f t="shared" ca="1" si="369"/>
        <v>7.9769999999999968</v>
      </c>
      <c r="T816" s="304">
        <f t="shared" ca="1" si="349"/>
        <v>78.254369999999966</v>
      </c>
      <c r="U816" s="311">
        <f t="shared" ca="1" si="350"/>
        <v>0</v>
      </c>
      <c r="V816" s="306">
        <f t="shared" ca="1" si="351"/>
        <v>1.2257281504840478</v>
      </c>
      <c r="W816" s="304">
        <f t="shared" ca="1" si="352"/>
        <v>59.236015371301121</v>
      </c>
      <c r="Y816" s="314" t="str">
        <f t="shared" ca="1" si="370"/>
        <v/>
      </c>
      <c r="Z816" s="315" t="str">
        <f t="shared" ca="1" si="371"/>
        <v/>
      </c>
      <c r="AA816" s="316" t="str">
        <f t="shared" ca="1" si="372"/>
        <v/>
      </c>
      <c r="AC816" s="310" t="e">
        <f t="shared" ca="1" si="373"/>
        <v>#N/A</v>
      </c>
      <c r="AD816" s="323" t="e">
        <f t="shared" ca="1" si="374"/>
        <v>#N/A</v>
      </c>
      <c r="AE816" s="324" t="e">
        <f t="shared" ca="1" si="353"/>
        <v>#N/A</v>
      </c>
      <c r="AG816" s="306">
        <f t="shared" ca="1" si="375"/>
        <v>2.3368077921852803</v>
      </c>
      <c r="AH816" s="304">
        <f t="shared" ca="1" si="376"/>
        <v>-7.4258136125225844</v>
      </c>
    </row>
    <row r="817" spans="1:34" x14ac:dyDescent="0.2">
      <c r="A817" s="347">
        <f t="shared" ca="1" si="354"/>
        <v>1E-4</v>
      </c>
      <c r="B817" s="304">
        <f t="shared" ca="1" si="355"/>
        <v>33.629700000001193</v>
      </c>
      <c r="D817" s="306">
        <f t="shared" ca="1" si="356"/>
        <v>-0.72893586760395435</v>
      </c>
      <c r="E817" s="307">
        <f t="shared" ca="1" si="357"/>
        <v>-2.4200122330918923</v>
      </c>
      <c r="F817" s="304">
        <f t="shared" ca="1" si="358"/>
        <v>2.5274110681473911</v>
      </c>
      <c r="G817" s="306">
        <f t="shared" ca="1" si="359"/>
        <v>11.873245046823566</v>
      </c>
      <c r="H817" s="307">
        <f t="shared" ca="1" si="360"/>
        <v>-120.37252471062031</v>
      </c>
      <c r="I817" s="304">
        <f t="shared" ca="1" si="361"/>
        <v>120.95668089506597</v>
      </c>
      <c r="J817" s="306">
        <f t="shared" ca="1" si="362"/>
        <v>755.70453742140728</v>
      </c>
      <c r="K817" s="307">
        <f t="shared" ca="1" si="363"/>
        <v>-5.9543567416486463</v>
      </c>
      <c r="L817" s="304">
        <f t="shared" ca="1" si="348"/>
        <v>755.72799487878581</v>
      </c>
      <c r="M817" s="306">
        <f t="shared" ca="1" si="364"/>
        <v>-1.4724768642359547</v>
      </c>
      <c r="N817" s="304">
        <f t="shared" ca="1" si="365"/>
        <v>-84.36670975137811</v>
      </c>
      <c r="P817" s="310">
        <f t="shared" ca="1" si="366"/>
        <v>23</v>
      </c>
      <c r="Q817" s="304">
        <f t="shared" ca="1" si="367"/>
        <v>0</v>
      </c>
      <c r="R817" s="306">
        <f t="shared" ca="1" si="368"/>
        <v>0</v>
      </c>
      <c r="S817" s="307">
        <f t="shared" ca="1" si="369"/>
        <v>7.9769999999999968</v>
      </c>
      <c r="T817" s="304">
        <f t="shared" ca="1" si="349"/>
        <v>78.254369999999966</v>
      </c>
      <c r="U817" s="311">
        <f t="shared" ca="1" si="350"/>
        <v>0</v>
      </c>
      <c r="V817" s="306">
        <f t="shared" ca="1" si="351"/>
        <v>1.2257296259235038</v>
      </c>
      <c r="W817" s="304">
        <f t="shared" ca="1" si="352"/>
        <v>59.23631555312123</v>
      </c>
      <c r="Y817" s="314" t="str">
        <f t="shared" ca="1" si="370"/>
        <v/>
      </c>
      <c r="Z817" s="315" t="str">
        <f t="shared" ca="1" si="371"/>
        <v/>
      </c>
      <c r="AA817" s="316" t="str">
        <f t="shared" ca="1" si="372"/>
        <v/>
      </c>
      <c r="AC817" s="310" t="e">
        <f t="shared" ca="1" si="373"/>
        <v>#N/A</v>
      </c>
      <c r="AD817" s="323" t="e">
        <f t="shared" ca="1" si="374"/>
        <v>#N/A</v>
      </c>
      <c r="AE817" s="324" t="e">
        <f t="shared" ca="1" si="353"/>
        <v>#N/A</v>
      </c>
      <c r="AG817" s="306">
        <f t="shared" ca="1" si="375"/>
        <v>2.3367709276252295</v>
      </c>
      <c r="AH817" s="304">
        <f t="shared" ca="1" si="376"/>
        <v>-7.425851243738391</v>
      </c>
    </row>
    <row r="818" spans="1:34" x14ac:dyDescent="0.2">
      <c r="A818" s="347">
        <f t="shared" ca="1" si="354"/>
        <v>1E-4</v>
      </c>
      <c r="B818" s="304">
        <f t="shared" ca="1" si="355"/>
        <v>33.629800000001197</v>
      </c>
      <c r="D818" s="306">
        <f t="shared" ca="1" si="356"/>
        <v>-0.72893367813016574</v>
      </c>
      <c r="E818" s="307">
        <f t="shared" ca="1" si="357"/>
        <v>-2.41997420358972</v>
      </c>
      <c r="F818" s="304">
        <f t="shared" ca="1" si="358"/>
        <v>2.5273740232011708</v>
      </c>
      <c r="G818" s="306">
        <f t="shared" ca="1" si="359"/>
        <v>11.873172153455753</v>
      </c>
      <c r="H818" s="307">
        <f t="shared" ca="1" si="360"/>
        <v>-120.37276670804067</v>
      </c>
      <c r="I818" s="304">
        <f t="shared" ca="1" si="361"/>
        <v>120.95691456851064</v>
      </c>
      <c r="J818" s="306">
        <f t="shared" ca="1" si="362"/>
        <v>755.70453742140728</v>
      </c>
      <c r="K818" s="307">
        <f t="shared" ca="1" si="363"/>
        <v>-5.9663940062195797</v>
      </c>
      <c r="L818" s="304">
        <f t="shared" ca="1" si="348"/>
        <v>755.72808981586797</v>
      </c>
      <c r="M818" s="306">
        <f t="shared" ca="1" si="364"/>
        <v>-1.4724776603547503</v>
      </c>
      <c r="N818" s="304">
        <f t="shared" ca="1" si="365"/>
        <v>-84.366755365625096</v>
      </c>
      <c r="P818" s="310">
        <f t="shared" ca="1" si="366"/>
        <v>23</v>
      </c>
      <c r="Q818" s="304">
        <f t="shared" ca="1" si="367"/>
        <v>0</v>
      </c>
      <c r="R818" s="306">
        <f t="shared" ca="1" si="368"/>
        <v>0</v>
      </c>
      <c r="S818" s="307">
        <f t="shared" ca="1" si="369"/>
        <v>7.9769999999999968</v>
      </c>
      <c r="T818" s="304">
        <f t="shared" ca="1" si="349"/>
        <v>78.254369999999966</v>
      </c>
      <c r="U818" s="311">
        <f t="shared" ca="1" si="350"/>
        <v>0</v>
      </c>
      <c r="V818" s="306">
        <f t="shared" ca="1" si="351"/>
        <v>1.225731101367703</v>
      </c>
      <c r="W818" s="304">
        <f t="shared" ca="1" si="352"/>
        <v>59.236615732553034</v>
      </c>
      <c r="Y818" s="314" t="str">
        <f t="shared" ca="1" si="370"/>
        <v/>
      </c>
      <c r="Z818" s="315" t="str">
        <f t="shared" ca="1" si="371"/>
        <v/>
      </c>
      <c r="AA818" s="316" t="str">
        <f t="shared" ca="1" si="372"/>
        <v/>
      </c>
      <c r="AC818" s="310" t="e">
        <f t="shared" ca="1" si="373"/>
        <v>#N/A</v>
      </c>
      <c r="AD818" s="323" t="e">
        <f t="shared" ca="1" si="374"/>
        <v>#N/A</v>
      </c>
      <c r="AE818" s="324" t="e">
        <f t="shared" ca="1" si="353"/>
        <v>#N/A</v>
      </c>
      <c r="AG818" s="306">
        <f t="shared" ca="1" si="375"/>
        <v>2.3367340633507316</v>
      </c>
      <c r="AH818" s="304">
        <f t="shared" ca="1" si="376"/>
        <v>-7.4258888746547891</v>
      </c>
    </row>
    <row r="819" spans="1:34" x14ac:dyDescent="0.2">
      <c r="A819" s="347">
        <f t="shared" ca="1" si="354"/>
        <v>1E-4</v>
      </c>
      <c r="B819" s="304">
        <f t="shared" ca="1" si="355"/>
        <v>33.6299000000012</v>
      </c>
      <c r="D819" s="306">
        <f t="shared" ca="1" si="356"/>
        <v>-0.72893148862574908</v>
      </c>
      <c r="E819" s="307">
        <f t="shared" ca="1" si="357"/>
        <v>-2.4199361743901076</v>
      </c>
      <c r="F819" s="304">
        <f t="shared" ca="1" si="358"/>
        <v>2.5273369785669617</v>
      </c>
      <c r="G819" s="306">
        <f t="shared" ca="1" si="359"/>
        <v>11.873099260306891</v>
      </c>
      <c r="H819" s="307">
        <f t="shared" ca="1" si="360"/>
        <v>-120.37300870165811</v>
      </c>
      <c r="I819" s="304">
        <f t="shared" ca="1" si="361"/>
        <v>120.95714823826891</v>
      </c>
      <c r="J819" s="306">
        <f t="shared" ca="1" si="362"/>
        <v>755.70453742140728</v>
      </c>
      <c r="K819" s="307">
        <f t="shared" ca="1" si="363"/>
        <v>-5.9784312949900649</v>
      </c>
      <c r="L819" s="304">
        <f t="shared" ca="1" si="348"/>
        <v>755.72818494485966</v>
      </c>
      <c r="M819" s="306">
        <f t="shared" ca="1" si="364"/>
        <v>-1.4724784564655824</v>
      </c>
      <c r="N819" s="304">
        <f t="shared" ca="1" si="365"/>
        <v>-84.3668009794158</v>
      </c>
      <c r="P819" s="310">
        <f t="shared" ca="1" si="366"/>
        <v>23</v>
      </c>
      <c r="Q819" s="304">
        <f t="shared" ca="1" si="367"/>
        <v>0</v>
      </c>
      <c r="R819" s="306">
        <f t="shared" ca="1" si="368"/>
        <v>0</v>
      </c>
      <c r="S819" s="307">
        <f t="shared" ca="1" si="369"/>
        <v>7.9769999999999968</v>
      </c>
      <c r="T819" s="304">
        <f t="shared" ca="1" si="349"/>
        <v>78.254369999999966</v>
      </c>
      <c r="U819" s="311">
        <f t="shared" ca="1" si="350"/>
        <v>0</v>
      </c>
      <c r="V819" s="306">
        <f t="shared" ca="1" si="351"/>
        <v>1.2257325768166445</v>
      </c>
      <c r="W819" s="304">
        <f t="shared" ca="1" si="352"/>
        <v>59.236915909596483</v>
      </c>
      <c r="Y819" s="314" t="str">
        <f t="shared" ca="1" si="370"/>
        <v/>
      </c>
      <c r="Z819" s="315" t="str">
        <f t="shared" ca="1" si="371"/>
        <v/>
      </c>
      <c r="AA819" s="316" t="str">
        <f t="shared" ca="1" si="372"/>
        <v/>
      </c>
      <c r="AC819" s="310" t="e">
        <f t="shared" ca="1" si="373"/>
        <v>#N/A</v>
      </c>
      <c r="AD819" s="323" t="e">
        <f t="shared" ca="1" si="374"/>
        <v>#N/A</v>
      </c>
      <c r="AE819" s="324" t="e">
        <f t="shared" ca="1" si="353"/>
        <v>#N/A</v>
      </c>
      <c r="AG819" s="306">
        <f t="shared" ca="1" si="375"/>
        <v>2.3366971993617769</v>
      </c>
      <c r="AH819" s="304">
        <f t="shared" ca="1" si="376"/>
        <v>-7.4259265052717884</v>
      </c>
    </row>
    <row r="820" spans="1:34" x14ac:dyDescent="0.2">
      <c r="A820" s="347">
        <f t="shared" ca="1" si="354"/>
        <v>1E-4</v>
      </c>
      <c r="B820" s="304">
        <f t="shared" ca="1" si="355"/>
        <v>33.630000000001203</v>
      </c>
      <c r="D820" s="306">
        <f t="shared" ca="1" si="356"/>
        <v>-0.72892929909070392</v>
      </c>
      <c r="E820" s="307">
        <f t="shared" ca="1" si="357"/>
        <v>-2.419898145493061</v>
      </c>
      <c r="F820" s="304">
        <f t="shared" ca="1" si="358"/>
        <v>2.5272999342447706</v>
      </c>
      <c r="G820" s="306">
        <f t="shared" ca="1" si="359"/>
        <v>11.873026367376982</v>
      </c>
      <c r="H820" s="307">
        <f t="shared" ca="1" si="360"/>
        <v>-120.37325069147266</v>
      </c>
      <c r="I820" s="304">
        <f t="shared" ca="1" si="361"/>
        <v>120.95738190434081</v>
      </c>
      <c r="J820" s="306">
        <f t="shared" ca="1" si="362"/>
        <v>755.70453742140728</v>
      </c>
      <c r="K820" s="307">
        <f t="shared" ca="1" si="363"/>
        <v>-5.9904686079597216</v>
      </c>
      <c r="L820" s="304">
        <f t="shared" ca="1" si="348"/>
        <v>755.72828026576201</v>
      </c>
      <c r="M820" s="306">
        <f t="shared" ca="1" si="364"/>
        <v>-1.4724792525684509</v>
      </c>
      <c r="N820" s="304">
        <f t="shared" ca="1" si="365"/>
        <v>-84.366846592750221</v>
      </c>
      <c r="P820" s="310">
        <f t="shared" ca="1" si="366"/>
        <v>23</v>
      </c>
      <c r="Q820" s="304">
        <f t="shared" ca="1" si="367"/>
        <v>0</v>
      </c>
      <c r="R820" s="306">
        <f t="shared" ca="1" si="368"/>
        <v>0</v>
      </c>
      <c r="S820" s="307">
        <f t="shared" ca="1" si="369"/>
        <v>7.9769999999999968</v>
      </c>
      <c r="T820" s="304">
        <f t="shared" ca="1" si="349"/>
        <v>78.254369999999966</v>
      </c>
      <c r="U820" s="311">
        <f t="shared" ca="1" si="350"/>
        <v>0</v>
      </c>
      <c r="V820" s="306">
        <f t="shared" ca="1" si="351"/>
        <v>1.2257340522703295</v>
      </c>
      <c r="W820" s="304">
        <f t="shared" ca="1" si="352"/>
        <v>59.237216084251592</v>
      </c>
      <c r="Y820" s="314" t="str">
        <f t="shared" ca="1" si="370"/>
        <v/>
      </c>
      <c r="Z820" s="315" t="str">
        <f t="shared" ca="1" si="371"/>
        <v/>
      </c>
      <c r="AA820" s="316" t="str">
        <f t="shared" ca="1" si="372"/>
        <v/>
      </c>
      <c r="AC820" s="310" t="e">
        <f t="shared" ca="1" si="373"/>
        <v>#N/A</v>
      </c>
      <c r="AD820" s="323" t="e">
        <f t="shared" ca="1" si="374"/>
        <v>#N/A</v>
      </c>
      <c r="AE820" s="324" t="e">
        <f t="shared" ca="1" si="353"/>
        <v>#N/A</v>
      </c>
      <c r="AG820" s="306">
        <f t="shared" ca="1" si="375"/>
        <v>2.3366603356583697</v>
      </c>
      <c r="AH820" s="304">
        <f t="shared" ca="1" si="376"/>
        <v>-7.4259641355893828</v>
      </c>
    </row>
    <row r="821" spans="1:34" x14ac:dyDescent="0.2">
      <c r="A821" s="347">
        <f t="shared" ca="1" si="354"/>
        <v>1E-4</v>
      </c>
      <c r="B821" s="304">
        <f t="shared" ca="1" si="355"/>
        <v>33.630100000001207</v>
      </c>
      <c r="D821" s="306">
        <f t="shared" ca="1" si="356"/>
        <v>-0.72892710952503359</v>
      </c>
      <c r="E821" s="307">
        <f t="shared" ca="1" si="357"/>
        <v>-2.4198601168985787</v>
      </c>
      <c r="F821" s="304">
        <f t="shared" ca="1" si="358"/>
        <v>2.5272628902345957</v>
      </c>
      <c r="G821" s="306">
        <f t="shared" ca="1" si="359"/>
        <v>11.87295347466603</v>
      </c>
      <c r="H821" s="307">
        <f t="shared" ca="1" si="360"/>
        <v>-120.37349267748435</v>
      </c>
      <c r="I821" s="304">
        <f t="shared" ca="1" si="361"/>
        <v>120.95761556672636</v>
      </c>
      <c r="J821" s="306">
        <f t="shared" ca="1" si="362"/>
        <v>755.70453742140728</v>
      </c>
      <c r="K821" s="307">
        <f t="shared" ca="1" si="363"/>
        <v>-6.0025059451281697</v>
      </c>
      <c r="L821" s="304">
        <f t="shared" ca="1" si="348"/>
        <v>755.72837577857592</v>
      </c>
      <c r="M821" s="306">
        <f t="shared" ca="1" si="364"/>
        <v>-1.4724800486633562</v>
      </c>
      <c r="N821" s="304">
        <f t="shared" ca="1" si="365"/>
        <v>-84.366892205628389</v>
      </c>
      <c r="P821" s="310">
        <f t="shared" ca="1" si="366"/>
        <v>23</v>
      </c>
      <c r="Q821" s="304">
        <f t="shared" ca="1" si="367"/>
        <v>0</v>
      </c>
      <c r="R821" s="306">
        <f t="shared" ca="1" si="368"/>
        <v>0</v>
      </c>
      <c r="S821" s="307">
        <f t="shared" ca="1" si="369"/>
        <v>7.9769999999999968</v>
      </c>
      <c r="T821" s="304">
        <f t="shared" ca="1" si="349"/>
        <v>78.254369999999966</v>
      </c>
      <c r="U821" s="311">
        <f t="shared" ca="1" si="350"/>
        <v>0</v>
      </c>
      <c r="V821" s="306">
        <f t="shared" ca="1" si="351"/>
        <v>1.2257355277287567</v>
      </c>
      <c r="W821" s="304">
        <f t="shared" ca="1" si="352"/>
        <v>59.237516256518333</v>
      </c>
      <c r="Y821" s="314" t="str">
        <f t="shared" ca="1" si="370"/>
        <v/>
      </c>
      <c r="Z821" s="315" t="str">
        <f t="shared" ca="1" si="371"/>
        <v/>
      </c>
      <c r="AA821" s="316" t="str">
        <f t="shared" ca="1" si="372"/>
        <v/>
      </c>
      <c r="AC821" s="310" t="e">
        <f t="shared" ca="1" si="373"/>
        <v>#N/A</v>
      </c>
      <c r="AD821" s="323" t="e">
        <f t="shared" ca="1" si="374"/>
        <v>#N/A</v>
      </c>
      <c r="AE821" s="324" t="e">
        <f t="shared" ca="1" si="353"/>
        <v>#N/A</v>
      </c>
      <c r="AG821" s="306">
        <f t="shared" ca="1" si="375"/>
        <v>2.3366234722405119</v>
      </c>
      <c r="AH821" s="304">
        <f t="shared" ca="1" si="376"/>
        <v>-7.4260017656075741</v>
      </c>
    </row>
    <row r="822" spans="1:34" x14ac:dyDescent="0.2">
      <c r="A822" s="347">
        <f t="shared" ca="1" si="354"/>
        <v>1E-4</v>
      </c>
      <c r="B822" s="304">
        <f t="shared" ca="1" si="355"/>
        <v>33.63020000000121</v>
      </c>
      <c r="D822" s="306">
        <f t="shared" ca="1" si="356"/>
        <v>-0.72892491992873598</v>
      </c>
      <c r="E822" s="307">
        <f t="shared" ca="1" si="357"/>
        <v>-2.4198220886066668</v>
      </c>
      <c r="F822" s="304">
        <f t="shared" ca="1" si="358"/>
        <v>2.5272258465364437</v>
      </c>
      <c r="G822" s="306">
        <f t="shared" ca="1" si="359"/>
        <v>11.872880582174037</v>
      </c>
      <c r="H822" s="307">
        <f t="shared" ca="1" si="360"/>
        <v>-120.37373465969321</v>
      </c>
      <c r="I822" s="304">
        <f t="shared" ca="1" si="361"/>
        <v>120.9578492254256</v>
      </c>
      <c r="J822" s="306">
        <f t="shared" ca="1" si="362"/>
        <v>755.70453742140728</v>
      </c>
      <c r="K822" s="307">
        <f t="shared" ca="1" si="363"/>
        <v>-6.0145433064950282</v>
      </c>
      <c r="L822" s="304">
        <f t="shared" ca="1" si="348"/>
        <v>755.72847148330254</v>
      </c>
      <c r="M822" s="306">
        <f t="shared" ca="1" si="364"/>
        <v>-1.4724808447502982</v>
      </c>
      <c r="N822" s="304">
        <f t="shared" ca="1" si="365"/>
        <v>-84.366937818050289</v>
      </c>
      <c r="P822" s="310">
        <f t="shared" ca="1" si="366"/>
        <v>23</v>
      </c>
      <c r="Q822" s="304">
        <f t="shared" ca="1" si="367"/>
        <v>0</v>
      </c>
      <c r="R822" s="306">
        <f t="shared" ca="1" si="368"/>
        <v>0</v>
      </c>
      <c r="S822" s="307">
        <f t="shared" ca="1" si="369"/>
        <v>7.9769999999999968</v>
      </c>
      <c r="T822" s="304">
        <f t="shared" ca="1" si="349"/>
        <v>78.254369999999966</v>
      </c>
      <c r="U822" s="311">
        <f t="shared" ca="1" si="350"/>
        <v>0</v>
      </c>
      <c r="V822" s="306">
        <f t="shared" ca="1" si="351"/>
        <v>1.2257370031919264</v>
      </c>
      <c r="W822" s="304">
        <f t="shared" ca="1" si="352"/>
        <v>59.237816426396726</v>
      </c>
      <c r="Y822" s="314" t="str">
        <f t="shared" ca="1" si="370"/>
        <v/>
      </c>
      <c r="Z822" s="315" t="str">
        <f t="shared" ca="1" si="371"/>
        <v/>
      </c>
      <c r="AA822" s="316" t="str">
        <f t="shared" ca="1" si="372"/>
        <v/>
      </c>
      <c r="AC822" s="310" t="e">
        <f t="shared" ca="1" si="373"/>
        <v>#N/A</v>
      </c>
      <c r="AD822" s="323" t="e">
        <f t="shared" ca="1" si="374"/>
        <v>#N/A</v>
      </c>
      <c r="AE822" s="324" t="e">
        <f t="shared" ca="1" si="353"/>
        <v>#N/A</v>
      </c>
      <c r="AG822" s="306">
        <f t="shared" ca="1" si="375"/>
        <v>2.3365866091082026</v>
      </c>
      <c r="AH822" s="304">
        <f t="shared" ca="1" si="376"/>
        <v>-7.4260393953263577</v>
      </c>
    </row>
    <row r="823" spans="1:34" x14ac:dyDescent="0.2">
      <c r="A823" s="347">
        <f t="shared" ca="1" si="354"/>
        <v>1E-4</v>
      </c>
      <c r="B823" s="304">
        <f t="shared" ca="1" si="355"/>
        <v>33.630300000001213</v>
      </c>
      <c r="D823" s="306">
        <f t="shared" ca="1" si="356"/>
        <v>-0.72892273030181487</v>
      </c>
      <c r="E823" s="307">
        <f t="shared" ca="1" si="357"/>
        <v>-2.4197840606173182</v>
      </c>
      <c r="F823" s="304">
        <f t="shared" ca="1" si="358"/>
        <v>2.5271888031503087</v>
      </c>
      <c r="G823" s="306">
        <f t="shared" ca="1" si="359"/>
        <v>11.872807689901007</v>
      </c>
      <c r="H823" s="307">
        <f t="shared" ca="1" si="360"/>
        <v>-120.37397663809928</v>
      </c>
      <c r="I823" s="304">
        <f t="shared" ca="1" si="361"/>
        <v>120.95808288043857</v>
      </c>
      <c r="J823" s="306">
        <f t="shared" ca="1" si="362"/>
        <v>755.70453742140728</v>
      </c>
      <c r="K823" s="307">
        <f t="shared" ca="1" si="363"/>
        <v>-6.0265806920599179</v>
      </c>
      <c r="L823" s="304">
        <f t="shared" ca="1" si="348"/>
        <v>755.728567379943</v>
      </c>
      <c r="M823" s="306">
        <f t="shared" ca="1" si="364"/>
        <v>-1.4724816408292771</v>
      </c>
      <c r="N823" s="304">
        <f t="shared" ca="1" si="365"/>
        <v>-84.366983430015935</v>
      </c>
      <c r="P823" s="310">
        <f t="shared" ca="1" si="366"/>
        <v>23</v>
      </c>
      <c r="Q823" s="304">
        <f t="shared" ca="1" si="367"/>
        <v>0</v>
      </c>
      <c r="R823" s="306">
        <f t="shared" ca="1" si="368"/>
        <v>0</v>
      </c>
      <c r="S823" s="307">
        <f t="shared" ca="1" si="369"/>
        <v>7.9769999999999968</v>
      </c>
      <c r="T823" s="304">
        <f t="shared" ca="1" si="349"/>
        <v>78.254369999999966</v>
      </c>
      <c r="U823" s="311">
        <f t="shared" ca="1" si="350"/>
        <v>0</v>
      </c>
      <c r="V823" s="306">
        <f t="shared" ca="1" si="351"/>
        <v>1.2257384786598393</v>
      </c>
      <c r="W823" s="304">
        <f t="shared" ca="1" si="352"/>
        <v>59.238116593886801</v>
      </c>
      <c r="Y823" s="314" t="str">
        <f t="shared" ca="1" si="370"/>
        <v/>
      </c>
      <c r="Z823" s="315" t="str">
        <f t="shared" ca="1" si="371"/>
        <v/>
      </c>
      <c r="AA823" s="316" t="str">
        <f t="shared" ca="1" si="372"/>
        <v/>
      </c>
      <c r="AC823" s="310" t="e">
        <f t="shared" ca="1" si="373"/>
        <v>#N/A</v>
      </c>
      <c r="AD823" s="323" t="e">
        <f t="shared" ca="1" si="374"/>
        <v>#N/A</v>
      </c>
      <c r="AE823" s="324" t="e">
        <f t="shared" ca="1" si="353"/>
        <v>#N/A</v>
      </c>
      <c r="AG823" s="306">
        <f t="shared" ca="1" si="375"/>
        <v>2.3365497462614444</v>
      </c>
      <c r="AH823" s="304">
        <f t="shared" ca="1" si="376"/>
        <v>-7.4260770247457382</v>
      </c>
    </row>
    <row r="824" spans="1:34" x14ac:dyDescent="0.2">
      <c r="A824" s="347">
        <f t="shared" ca="1" si="354"/>
        <v>1E-4</v>
      </c>
      <c r="B824" s="304">
        <f t="shared" ca="1" si="355"/>
        <v>33.630400000001217</v>
      </c>
      <c r="D824" s="306">
        <f t="shared" ca="1" si="356"/>
        <v>-0.72892054064426859</v>
      </c>
      <c r="E824" s="307">
        <f t="shared" ca="1" si="357"/>
        <v>-2.4197460329305329</v>
      </c>
      <c r="F824" s="304">
        <f t="shared" ca="1" si="358"/>
        <v>2.5271517600761899</v>
      </c>
      <c r="G824" s="306">
        <f t="shared" ca="1" si="359"/>
        <v>11.872734797846944</v>
      </c>
      <c r="H824" s="307">
        <f t="shared" ca="1" si="360"/>
        <v>-120.37421861270258</v>
      </c>
      <c r="I824" s="304">
        <f t="shared" ca="1" si="361"/>
        <v>120.95831653176526</v>
      </c>
      <c r="J824" s="306">
        <f t="shared" ca="1" si="362"/>
        <v>755.70453742140728</v>
      </c>
      <c r="K824" s="307">
        <f t="shared" ca="1" si="363"/>
        <v>-6.0386181018224576</v>
      </c>
      <c r="L824" s="304">
        <f t="shared" ca="1" si="348"/>
        <v>755.72866346849833</v>
      </c>
      <c r="M824" s="306">
        <f t="shared" ca="1" si="364"/>
        <v>-1.4724824369002931</v>
      </c>
      <c r="N824" s="304">
        <f t="shared" ca="1" si="365"/>
        <v>-84.367029041525342</v>
      </c>
      <c r="P824" s="310">
        <f t="shared" ca="1" si="366"/>
        <v>23</v>
      </c>
      <c r="Q824" s="304">
        <f t="shared" ca="1" si="367"/>
        <v>0</v>
      </c>
      <c r="R824" s="306">
        <f t="shared" ca="1" si="368"/>
        <v>0</v>
      </c>
      <c r="S824" s="307">
        <f t="shared" ca="1" si="369"/>
        <v>7.9769999999999968</v>
      </c>
      <c r="T824" s="304">
        <f t="shared" ca="1" si="349"/>
        <v>78.254369999999966</v>
      </c>
      <c r="U824" s="311">
        <f t="shared" ca="1" si="350"/>
        <v>0</v>
      </c>
      <c r="V824" s="306">
        <f t="shared" ca="1" si="351"/>
        <v>1.2257399541324943</v>
      </c>
      <c r="W824" s="304">
        <f t="shared" ca="1" si="352"/>
        <v>59.23841675898845</v>
      </c>
      <c r="Y824" s="314" t="str">
        <f t="shared" ca="1" si="370"/>
        <v/>
      </c>
      <c r="Z824" s="315" t="str">
        <f t="shared" ca="1" si="371"/>
        <v/>
      </c>
      <c r="AA824" s="316" t="str">
        <f t="shared" ca="1" si="372"/>
        <v/>
      </c>
      <c r="AC824" s="310" t="e">
        <f t="shared" ca="1" si="373"/>
        <v>#N/A</v>
      </c>
      <c r="AD824" s="323" t="e">
        <f t="shared" ca="1" si="374"/>
        <v>#N/A</v>
      </c>
      <c r="AE824" s="324" t="e">
        <f t="shared" ca="1" si="353"/>
        <v>#N/A</v>
      </c>
      <c r="AG824" s="306">
        <f t="shared" ca="1" si="375"/>
        <v>2.336512883700232</v>
      </c>
      <c r="AH824" s="304">
        <f t="shared" ca="1" si="376"/>
        <v>-7.4261146538657172</v>
      </c>
    </row>
    <row r="825" spans="1:34" x14ac:dyDescent="0.2">
      <c r="A825" s="347">
        <f t="shared" ca="1" si="354"/>
        <v>1E-4</v>
      </c>
      <c r="B825" s="304">
        <f t="shared" ca="1" si="355"/>
        <v>33.63050000000122</v>
      </c>
      <c r="D825" s="306">
        <f t="shared" ca="1" si="356"/>
        <v>-0.7289183509560978</v>
      </c>
      <c r="E825" s="307">
        <f t="shared" ca="1" si="357"/>
        <v>-2.4197080055463216</v>
      </c>
      <c r="F825" s="304">
        <f t="shared" ca="1" si="358"/>
        <v>2.527114717314098</v>
      </c>
      <c r="G825" s="306">
        <f t="shared" ca="1" si="359"/>
        <v>11.872661906011848</v>
      </c>
      <c r="H825" s="307">
        <f t="shared" ca="1" si="360"/>
        <v>-120.37446058350314</v>
      </c>
      <c r="I825" s="304">
        <f t="shared" ca="1" si="361"/>
        <v>120.95855017940573</v>
      </c>
      <c r="J825" s="306">
        <f t="shared" ca="1" si="362"/>
        <v>755.70453742140728</v>
      </c>
      <c r="K825" s="307">
        <f t="shared" ca="1" si="363"/>
        <v>-6.0506555357822682</v>
      </c>
      <c r="L825" s="304">
        <f t="shared" ca="1" si="348"/>
        <v>755.72875974896965</v>
      </c>
      <c r="M825" s="306">
        <f t="shared" ca="1" si="364"/>
        <v>-1.4724832329633464</v>
      </c>
      <c r="N825" s="304">
        <f t="shared" ca="1" si="365"/>
        <v>-84.367074652578523</v>
      </c>
      <c r="P825" s="310">
        <f t="shared" ca="1" si="366"/>
        <v>23</v>
      </c>
      <c r="Q825" s="304">
        <f t="shared" ca="1" si="367"/>
        <v>0</v>
      </c>
      <c r="R825" s="306">
        <f t="shared" ca="1" si="368"/>
        <v>0</v>
      </c>
      <c r="S825" s="307">
        <f t="shared" ca="1" si="369"/>
        <v>7.9769999999999968</v>
      </c>
      <c r="T825" s="304">
        <f t="shared" ca="1" si="349"/>
        <v>78.254369999999966</v>
      </c>
      <c r="U825" s="311">
        <f t="shared" ca="1" si="350"/>
        <v>0</v>
      </c>
      <c r="V825" s="306">
        <f t="shared" ca="1" si="351"/>
        <v>1.2257414296098921</v>
      </c>
      <c r="W825" s="304">
        <f t="shared" ca="1" si="352"/>
        <v>59.238716921701766</v>
      </c>
      <c r="Y825" s="314" t="str">
        <f t="shared" ca="1" si="370"/>
        <v/>
      </c>
      <c r="Z825" s="315" t="str">
        <f t="shared" ca="1" si="371"/>
        <v/>
      </c>
      <c r="AA825" s="316" t="str">
        <f t="shared" ca="1" si="372"/>
        <v/>
      </c>
      <c r="AC825" s="310" t="e">
        <f t="shared" ca="1" si="373"/>
        <v>#N/A</v>
      </c>
      <c r="AD825" s="323" t="e">
        <f t="shared" ca="1" si="374"/>
        <v>#N/A</v>
      </c>
      <c r="AE825" s="324" t="e">
        <f t="shared" ca="1" si="353"/>
        <v>#N/A</v>
      </c>
      <c r="AG825" s="306">
        <f t="shared" ca="1" si="375"/>
        <v>2.3364760214245797</v>
      </c>
      <c r="AH825" s="304">
        <f t="shared" ca="1" si="376"/>
        <v>-7.4261522826862825</v>
      </c>
    </row>
    <row r="826" spans="1:34" x14ac:dyDescent="0.2">
      <c r="A826" s="347">
        <f t="shared" ca="1" si="354"/>
        <v>1E-4</v>
      </c>
      <c r="B826" s="304">
        <f t="shared" ca="1" si="355"/>
        <v>33.630600000001223</v>
      </c>
      <c r="D826" s="306">
        <f t="shared" ca="1" si="356"/>
        <v>-0.72891616123730352</v>
      </c>
      <c r="E826" s="307">
        <f t="shared" ca="1" si="357"/>
        <v>-2.4196699784646754</v>
      </c>
      <c r="F826" s="304">
        <f t="shared" ca="1" si="358"/>
        <v>2.5270776748640253</v>
      </c>
      <c r="G826" s="306">
        <f t="shared" ca="1" si="359"/>
        <v>11.872589014395723</v>
      </c>
      <c r="H826" s="307">
        <f t="shared" ca="1" si="360"/>
        <v>-120.37470255050098</v>
      </c>
      <c r="I826" s="304">
        <f t="shared" ca="1" si="361"/>
        <v>120.95878382336001</v>
      </c>
      <c r="J826" s="306">
        <f t="shared" ca="1" si="362"/>
        <v>755.70453742140728</v>
      </c>
      <c r="K826" s="307">
        <f t="shared" ca="1" si="363"/>
        <v>-6.0626929939389687</v>
      </c>
      <c r="L826" s="304">
        <f t="shared" ca="1" si="348"/>
        <v>755.72885622135789</v>
      </c>
      <c r="M826" s="306">
        <f t="shared" ca="1" si="364"/>
        <v>-1.4724840290184369</v>
      </c>
      <c r="N826" s="304">
        <f t="shared" ca="1" si="365"/>
        <v>-84.36712026317548</v>
      </c>
      <c r="P826" s="310">
        <f t="shared" ca="1" si="366"/>
        <v>23</v>
      </c>
      <c r="Q826" s="304">
        <f t="shared" ca="1" si="367"/>
        <v>0</v>
      </c>
      <c r="R826" s="306">
        <f t="shared" ca="1" si="368"/>
        <v>0</v>
      </c>
      <c r="S826" s="307">
        <f t="shared" ca="1" si="369"/>
        <v>7.9769999999999968</v>
      </c>
      <c r="T826" s="304">
        <f t="shared" ca="1" si="349"/>
        <v>78.254369999999966</v>
      </c>
      <c r="U826" s="311">
        <f t="shared" ca="1" si="350"/>
        <v>0</v>
      </c>
      <c r="V826" s="306">
        <f t="shared" ca="1" si="351"/>
        <v>1.2257429050920325</v>
      </c>
      <c r="W826" s="304">
        <f t="shared" ca="1" si="352"/>
        <v>59.23901708202672</v>
      </c>
      <c r="Y826" s="314" t="str">
        <f t="shared" ca="1" si="370"/>
        <v/>
      </c>
      <c r="Z826" s="315" t="str">
        <f t="shared" ca="1" si="371"/>
        <v/>
      </c>
      <c r="AA826" s="316" t="str">
        <f t="shared" ca="1" si="372"/>
        <v/>
      </c>
      <c r="AC826" s="310" t="e">
        <f t="shared" ca="1" si="373"/>
        <v>#N/A</v>
      </c>
      <c r="AD826" s="323" t="e">
        <f t="shared" ca="1" si="374"/>
        <v>#N/A</v>
      </c>
      <c r="AE826" s="324" t="e">
        <f t="shared" ca="1" si="353"/>
        <v>#N/A</v>
      </c>
      <c r="AG826" s="306">
        <f t="shared" ca="1" si="375"/>
        <v>2.336439159434474</v>
      </c>
      <c r="AH826" s="304">
        <f t="shared" ca="1" si="376"/>
        <v>-7.4261899112074454</v>
      </c>
    </row>
    <row r="827" spans="1:34" x14ac:dyDescent="0.2">
      <c r="A827" s="347">
        <f t="shared" ca="1" si="354"/>
        <v>1E-4</v>
      </c>
      <c r="B827" s="304">
        <f t="shared" ca="1" si="355"/>
        <v>33.630700000001227</v>
      </c>
      <c r="D827" s="306">
        <f t="shared" ca="1" si="356"/>
        <v>-0.72891397148788672</v>
      </c>
      <c r="E827" s="307">
        <f t="shared" ca="1" si="357"/>
        <v>-2.4196319516855969</v>
      </c>
      <c r="F827" s="304">
        <f t="shared" ca="1" si="358"/>
        <v>2.5270406327259747</v>
      </c>
      <c r="G827" s="306">
        <f t="shared" ca="1" si="359"/>
        <v>11.872516122998574</v>
      </c>
      <c r="H827" s="307">
        <f t="shared" ca="1" si="360"/>
        <v>-120.37494451369615</v>
      </c>
      <c r="I827" s="304">
        <f t="shared" ca="1" si="361"/>
        <v>120.9590174636281</v>
      </c>
      <c r="J827" s="306">
        <f t="shared" ca="1" si="362"/>
        <v>755.70453742140728</v>
      </c>
      <c r="K827" s="307">
        <f t="shared" ca="1" si="363"/>
        <v>-6.0747304762921788</v>
      </c>
      <c r="L827" s="304">
        <f t="shared" ca="1" si="348"/>
        <v>755.7289528856644</v>
      </c>
      <c r="M827" s="306">
        <f t="shared" ca="1" si="364"/>
        <v>-1.4724848250655647</v>
      </c>
      <c r="N827" s="304">
        <f t="shared" ca="1" si="365"/>
        <v>-84.367165873316182</v>
      </c>
      <c r="P827" s="310">
        <f t="shared" ca="1" si="366"/>
        <v>23</v>
      </c>
      <c r="Q827" s="304">
        <f t="shared" ca="1" si="367"/>
        <v>0</v>
      </c>
      <c r="R827" s="306">
        <f t="shared" ca="1" si="368"/>
        <v>0</v>
      </c>
      <c r="S827" s="307">
        <f t="shared" ca="1" si="369"/>
        <v>7.9769999999999968</v>
      </c>
      <c r="T827" s="304">
        <f t="shared" ca="1" si="349"/>
        <v>78.254369999999966</v>
      </c>
      <c r="U827" s="311">
        <f t="shared" ca="1" si="350"/>
        <v>0</v>
      </c>
      <c r="V827" s="306">
        <f t="shared" ca="1" si="351"/>
        <v>1.2257443805789152</v>
      </c>
      <c r="W827" s="304">
        <f t="shared" ca="1" si="352"/>
        <v>59.239317239963292</v>
      </c>
      <c r="Y827" s="314" t="str">
        <f t="shared" ca="1" si="370"/>
        <v/>
      </c>
      <c r="Z827" s="315" t="str">
        <f t="shared" ca="1" si="371"/>
        <v/>
      </c>
      <c r="AA827" s="316" t="str">
        <f t="shared" ca="1" si="372"/>
        <v/>
      </c>
      <c r="AC827" s="310" t="e">
        <f t="shared" ca="1" si="373"/>
        <v>#N/A</v>
      </c>
      <c r="AD827" s="323" t="e">
        <f t="shared" ca="1" si="374"/>
        <v>#N/A</v>
      </c>
      <c r="AE827" s="324" t="e">
        <f t="shared" ca="1" si="353"/>
        <v>#N/A</v>
      </c>
      <c r="AG827" s="306">
        <f t="shared" ca="1" si="375"/>
        <v>2.3364022977299213</v>
      </c>
      <c r="AH827" s="304">
        <f t="shared" ca="1" si="376"/>
        <v>-7.4262275394292017</v>
      </c>
    </row>
    <row r="828" spans="1:34" x14ac:dyDescent="0.2">
      <c r="A828" s="347">
        <f t="shared" ca="1" si="354"/>
        <v>1E-4</v>
      </c>
      <c r="B828" s="304">
        <f t="shared" ca="1" si="355"/>
        <v>33.63080000000123</v>
      </c>
      <c r="D828" s="306">
        <f t="shared" ca="1" si="356"/>
        <v>-0.72891178170784909</v>
      </c>
      <c r="E828" s="307">
        <f t="shared" ca="1" si="357"/>
        <v>-2.419593925209087</v>
      </c>
      <c r="F828" s="304">
        <f t="shared" ca="1" si="358"/>
        <v>2.5270035908999473</v>
      </c>
      <c r="G828" s="306">
        <f t="shared" ca="1" si="359"/>
        <v>11.872443231820403</v>
      </c>
      <c r="H828" s="307">
        <f t="shared" ca="1" si="360"/>
        <v>-120.37518647308868</v>
      </c>
      <c r="I828" s="304">
        <f t="shared" ca="1" si="361"/>
        <v>120.95925110021007</v>
      </c>
      <c r="J828" s="306">
        <f t="shared" ca="1" si="362"/>
        <v>755.70453742140728</v>
      </c>
      <c r="K828" s="307">
        <f t="shared" ca="1" si="363"/>
        <v>-6.0867679828415184</v>
      </c>
      <c r="L828" s="304">
        <f t="shared" ca="1" si="348"/>
        <v>755.72904974189009</v>
      </c>
      <c r="M828" s="306">
        <f t="shared" ca="1" si="364"/>
        <v>-1.4724856211047299</v>
      </c>
      <c r="N828" s="304">
        <f t="shared" ca="1" si="365"/>
        <v>-84.367211483000688</v>
      </c>
      <c r="P828" s="310">
        <f t="shared" ca="1" si="366"/>
        <v>23</v>
      </c>
      <c r="Q828" s="304">
        <f t="shared" ca="1" si="367"/>
        <v>0</v>
      </c>
      <c r="R828" s="306">
        <f t="shared" ca="1" si="368"/>
        <v>0</v>
      </c>
      <c r="S828" s="307">
        <f t="shared" ca="1" si="369"/>
        <v>7.9769999999999968</v>
      </c>
      <c r="T828" s="304">
        <f t="shared" ca="1" si="349"/>
        <v>78.254369999999966</v>
      </c>
      <c r="U828" s="311">
        <f t="shared" ca="1" si="350"/>
        <v>0</v>
      </c>
      <c r="V828" s="306">
        <f t="shared" ca="1" si="351"/>
        <v>1.2257458560705405</v>
      </c>
      <c r="W828" s="304">
        <f t="shared" ca="1" si="352"/>
        <v>59.239617395511495</v>
      </c>
      <c r="Y828" s="314" t="str">
        <f t="shared" ca="1" si="370"/>
        <v/>
      </c>
      <c r="Z828" s="315" t="str">
        <f t="shared" ca="1" si="371"/>
        <v/>
      </c>
      <c r="AA828" s="316" t="str">
        <f t="shared" ca="1" si="372"/>
        <v/>
      </c>
      <c r="AC828" s="310" t="e">
        <f t="shared" ca="1" si="373"/>
        <v>#N/A</v>
      </c>
      <c r="AD828" s="323" t="e">
        <f t="shared" ca="1" si="374"/>
        <v>#N/A</v>
      </c>
      <c r="AE828" s="324" t="e">
        <f t="shared" ca="1" si="353"/>
        <v>#N/A</v>
      </c>
      <c r="AG828" s="306">
        <f t="shared" ca="1" si="375"/>
        <v>2.3363654363109223</v>
      </c>
      <c r="AH828" s="304">
        <f t="shared" ca="1" si="376"/>
        <v>-7.4262651673515503</v>
      </c>
    </row>
    <row r="829" spans="1:34" x14ac:dyDescent="0.2">
      <c r="A829" s="347">
        <f t="shared" ca="1" si="354"/>
        <v>1E-4</v>
      </c>
      <c r="B829" s="304">
        <f t="shared" ca="1" si="355"/>
        <v>33.630900000001233</v>
      </c>
      <c r="D829" s="306">
        <f t="shared" ca="1" si="356"/>
        <v>-0.72890959189719073</v>
      </c>
      <c r="E829" s="307">
        <f t="shared" ca="1" si="357"/>
        <v>-2.4195558990351458</v>
      </c>
      <c r="F829" s="304">
        <f t="shared" ca="1" si="358"/>
        <v>2.5269665493859437</v>
      </c>
      <c r="G829" s="306">
        <f t="shared" ca="1" si="359"/>
        <v>11.872370340861213</v>
      </c>
      <c r="H829" s="307">
        <f t="shared" ca="1" si="360"/>
        <v>-120.37542842867857</v>
      </c>
      <c r="I829" s="304">
        <f t="shared" ca="1" si="361"/>
        <v>120.9594847331059</v>
      </c>
      <c r="J829" s="306">
        <f t="shared" ca="1" si="362"/>
        <v>755.70453742140728</v>
      </c>
      <c r="K829" s="307">
        <f t="shared" ca="1" si="363"/>
        <v>-6.0988055135866066</v>
      </c>
      <c r="L829" s="304">
        <f t="shared" ca="1" si="348"/>
        <v>755.72914679003588</v>
      </c>
      <c r="M829" s="306">
        <f t="shared" ca="1" si="364"/>
        <v>-1.4724864171359329</v>
      </c>
      <c r="N829" s="304">
        <f t="shared" ca="1" si="365"/>
        <v>-84.367257092228968</v>
      </c>
      <c r="P829" s="310">
        <f t="shared" ca="1" si="366"/>
        <v>23</v>
      </c>
      <c r="Q829" s="304">
        <f t="shared" ca="1" si="367"/>
        <v>0</v>
      </c>
      <c r="R829" s="306">
        <f t="shared" ca="1" si="368"/>
        <v>0</v>
      </c>
      <c r="S829" s="307">
        <f t="shared" ca="1" si="369"/>
        <v>7.9769999999999968</v>
      </c>
      <c r="T829" s="304">
        <f t="shared" ca="1" si="349"/>
        <v>78.254369999999966</v>
      </c>
      <c r="U829" s="311">
        <f t="shared" ca="1" si="350"/>
        <v>0</v>
      </c>
      <c r="V829" s="306">
        <f t="shared" ca="1" si="351"/>
        <v>1.2257473315669085</v>
      </c>
      <c r="W829" s="304">
        <f t="shared" ca="1" si="352"/>
        <v>59.239917548671329</v>
      </c>
      <c r="Y829" s="314" t="str">
        <f t="shared" ca="1" si="370"/>
        <v/>
      </c>
      <c r="Z829" s="315" t="str">
        <f t="shared" ca="1" si="371"/>
        <v/>
      </c>
      <c r="AA829" s="316" t="str">
        <f t="shared" ca="1" si="372"/>
        <v/>
      </c>
      <c r="AC829" s="310" t="e">
        <f t="shared" ca="1" si="373"/>
        <v>#N/A</v>
      </c>
      <c r="AD829" s="323" t="e">
        <f t="shared" ca="1" si="374"/>
        <v>#N/A</v>
      </c>
      <c r="AE829" s="324" t="e">
        <f t="shared" ca="1" si="353"/>
        <v>#N/A</v>
      </c>
      <c r="AG829" s="306">
        <f t="shared" ca="1" si="375"/>
        <v>2.3363285751774789</v>
      </c>
      <c r="AH829" s="304">
        <f t="shared" ca="1" si="376"/>
        <v>-7.4263027949744913</v>
      </c>
    </row>
    <row r="830" spans="1:34" x14ac:dyDescent="0.2">
      <c r="A830" s="347">
        <f t="shared" ca="1" si="354"/>
        <v>1E-4</v>
      </c>
      <c r="B830" s="304">
        <f t="shared" ca="1" si="355"/>
        <v>33.631000000001237</v>
      </c>
      <c r="D830" s="306">
        <f t="shared" ca="1" si="356"/>
        <v>-0.72890740205591154</v>
      </c>
      <c r="E830" s="307">
        <f t="shared" ca="1" si="357"/>
        <v>-2.4195178731637741</v>
      </c>
      <c r="F830" s="304">
        <f t="shared" ca="1" si="358"/>
        <v>2.5269295081839642</v>
      </c>
      <c r="G830" s="306">
        <f t="shared" ca="1" si="359"/>
        <v>11.872297450121007</v>
      </c>
      <c r="H830" s="307">
        <f t="shared" ca="1" si="360"/>
        <v>-120.37567038046589</v>
      </c>
      <c r="I830" s="304">
        <f t="shared" ca="1" si="361"/>
        <v>120.95971836231566</v>
      </c>
      <c r="J830" s="306">
        <f t="shared" ca="1" si="362"/>
        <v>755.70453742140728</v>
      </c>
      <c r="K830" s="307">
        <f t="shared" ca="1" si="363"/>
        <v>-6.110843068527064</v>
      </c>
      <c r="L830" s="304">
        <f t="shared" ca="1" si="348"/>
        <v>755.72924403010325</v>
      </c>
      <c r="M830" s="306">
        <f t="shared" ca="1" si="364"/>
        <v>-1.4724872131591737</v>
      </c>
      <c r="N830" s="304">
        <f t="shared" ca="1" si="365"/>
        <v>-84.367302701001066</v>
      </c>
      <c r="P830" s="310">
        <f t="shared" ca="1" si="366"/>
        <v>23</v>
      </c>
      <c r="Q830" s="304">
        <f t="shared" ca="1" si="367"/>
        <v>0</v>
      </c>
      <c r="R830" s="306">
        <f t="shared" ca="1" si="368"/>
        <v>0</v>
      </c>
      <c r="S830" s="307">
        <f t="shared" ca="1" si="369"/>
        <v>7.9769999999999968</v>
      </c>
      <c r="T830" s="304">
        <f t="shared" ca="1" si="349"/>
        <v>78.254369999999966</v>
      </c>
      <c r="U830" s="311">
        <f t="shared" ca="1" si="350"/>
        <v>0</v>
      </c>
      <c r="V830" s="306">
        <f t="shared" ca="1" si="351"/>
        <v>1.2257488070680187</v>
      </c>
      <c r="W830" s="304">
        <f t="shared" ca="1" si="352"/>
        <v>59.240217699442788</v>
      </c>
      <c r="Y830" s="314" t="str">
        <f t="shared" ca="1" si="370"/>
        <v/>
      </c>
      <c r="Z830" s="315" t="str">
        <f t="shared" ca="1" si="371"/>
        <v/>
      </c>
      <c r="AA830" s="316" t="str">
        <f t="shared" ca="1" si="372"/>
        <v/>
      </c>
      <c r="AC830" s="310" t="e">
        <f t="shared" ca="1" si="373"/>
        <v>#N/A</v>
      </c>
      <c r="AD830" s="323" t="e">
        <f t="shared" ca="1" si="374"/>
        <v>#N/A</v>
      </c>
      <c r="AE830" s="324" t="e">
        <f t="shared" ca="1" si="353"/>
        <v>#N/A</v>
      </c>
      <c r="AG830" s="306">
        <f t="shared" ca="1" si="375"/>
        <v>2.3362917143295867</v>
      </c>
      <c r="AH830" s="304">
        <f t="shared" ca="1" si="376"/>
        <v>-7.4263404222980256</v>
      </c>
    </row>
    <row r="831" spans="1:34" x14ac:dyDescent="0.2">
      <c r="A831" s="347">
        <f t="shared" ca="1" si="354"/>
        <v>1E-4</v>
      </c>
      <c r="B831" s="304">
        <f t="shared" ca="1" si="355"/>
        <v>33.63110000000124</v>
      </c>
      <c r="D831" s="306">
        <f t="shared" ca="1" si="356"/>
        <v>-0.72890521218401139</v>
      </c>
      <c r="E831" s="307">
        <f t="shared" ca="1" si="357"/>
        <v>-2.4194798475949701</v>
      </c>
      <c r="F831" s="304">
        <f t="shared" ca="1" si="358"/>
        <v>2.5268924672940081</v>
      </c>
      <c r="G831" s="306">
        <f t="shared" ca="1" si="359"/>
        <v>11.872224559599788</v>
      </c>
      <c r="H831" s="307">
        <f t="shared" ca="1" si="360"/>
        <v>-120.37591232845065</v>
      </c>
      <c r="I831" s="304">
        <f t="shared" ca="1" si="361"/>
        <v>120.95995198783935</v>
      </c>
      <c r="J831" s="306">
        <f t="shared" ca="1" si="362"/>
        <v>755.70453742140728</v>
      </c>
      <c r="K831" s="307">
        <f t="shared" ca="1" si="363"/>
        <v>-6.1228806476625097</v>
      </c>
      <c r="L831" s="304">
        <f t="shared" ca="1" si="348"/>
        <v>755.72934146209298</v>
      </c>
      <c r="M831" s="306">
        <f t="shared" ca="1" si="364"/>
        <v>-1.4724880091744523</v>
      </c>
      <c r="N831" s="304">
        <f t="shared" ca="1" si="365"/>
        <v>-84.367348309316966</v>
      </c>
      <c r="P831" s="310">
        <f t="shared" ca="1" si="366"/>
        <v>23</v>
      </c>
      <c r="Q831" s="304">
        <f t="shared" ca="1" si="367"/>
        <v>0</v>
      </c>
      <c r="R831" s="306">
        <f t="shared" ca="1" si="368"/>
        <v>0</v>
      </c>
      <c r="S831" s="307">
        <f t="shared" ca="1" si="369"/>
        <v>7.9769999999999968</v>
      </c>
      <c r="T831" s="304">
        <f t="shared" ca="1" si="349"/>
        <v>78.254369999999966</v>
      </c>
      <c r="U831" s="311">
        <f t="shared" ca="1" si="350"/>
        <v>0</v>
      </c>
      <c r="V831" s="306">
        <f t="shared" ca="1" si="351"/>
        <v>1.2257502825738711</v>
      </c>
      <c r="W831" s="304">
        <f t="shared" ca="1" si="352"/>
        <v>59.240517847825828</v>
      </c>
      <c r="Y831" s="314" t="str">
        <f t="shared" ca="1" si="370"/>
        <v/>
      </c>
      <c r="Z831" s="315" t="str">
        <f t="shared" ca="1" si="371"/>
        <v/>
      </c>
      <c r="AA831" s="316" t="str">
        <f t="shared" ca="1" si="372"/>
        <v/>
      </c>
      <c r="AC831" s="310" t="e">
        <f t="shared" ca="1" si="373"/>
        <v>#N/A</v>
      </c>
      <c r="AD831" s="323" t="e">
        <f t="shared" ca="1" si="374"/>
        <v>#N/A</v>
      </c>
      <c r="AE831" s="324" t="e">
        <f t="shared" ca="1" si="353"/>
        <v>#N/A</v>
      </c>
      <c r="AG831" s="306">
        <f t="shared" ca="1" si="375"/>
        <v>2.3362548537672518</v>
      </c>
      <c r="AH831" s="304">
        <f t="shared" ca="1" si="376"/>
        <v>-7.4263780493221523</v>
      </c>
    </row>
    <row r="832" spans="1:34" x14ac:dyDescent="0.2">
      <c r="A832" s="347">
        <f t="shared" ca="1" si="354"/>
        <v>1E-4</v>
      </c>
      <c r="B832" s="304">
        <f t="shared" ca="1" si="355"/>
        <v>33.631200000001243</v>
      </c>
      <c r="D832" s="306">
        <f t="shared" ca="1" si="356"/>
        <v>-0.72890302228149306</v>
      </c>
      <c r="E832" s="307">
        <f t="shared" ca="1" si="357"/>
        <v>-2.4194418223287402</v>
      </c>
      <c r="F832" s="304">
        <f t="shared" ca="1" si="358"/>
        <v>2.5268554267160814</v>
      </c>
      <c r="G832" s="306">
        <f t="shared" ca="1" si="359"/>
        <v>11.87215166929756</v>
      </c>
      <c r="H832" s="307">
        <f t="shared" ca="1" si="360"/>
        <v>-120.37615427263289</v>
      </c>
      <c r="I832" s="304">
        <f t="shared" ca="1" si="361"/>
        <v>120.96018560967703</v>
      </c>
      <c r="J832" s="306">
        <f t="shared" ca="1" si="362"/>
        <v>755.70453742140728</v>
      </c>
      <c r="K832" s="307">
        <f t="shared" ca="1" si="363"/>
        <v>-6.1349182509925635</v>
      </c>
      <c r="L832" s="304">
        <f t="shared" ca="1" si="348"/>
        <v>755.72943908600621</v>
      </c>
      <c r="M832" s="306">
        <f t="shared" ca="1" si="364"/>
        <v>-1.4724888051817688</v>
      </c>
      <c r="N832" s="304">
        <f t="shared" ca="1" si="365"/>
        <v>-84.367393917176656</v>
      </c>
      <c r="P832" s="310">
        <f t="shared" ca="1" si="366"/>
        <v>23</v>
      </c>
      <c r="Q832" s="304">
        <f t="shared" ca="1" si="367"/>
        <v>0</v>
      </c>
      <c r="R832" s="306">
        <f t="shared" ca="1" si="368"/>
        <v>0</v>
      </c>
      <c r="S832" s="307">
        <f t="shared" ca="1" si="369"/>
        <v>7.9769999999999968</v>
      </c>
      <c r="T832" s="304">
        <f t="shared" ca="1" si="349"/>
        <v>78.254369999999966</v>
      </c>
      <c r="U832" s="311">
        <f t="shared" ca="1" si="350"/>
        <v>0</v>
      </c>
      <c r="V832" s="306">
        <f t="shared" ca="1" si="351"/>
        <v>1.2257517580844661</v>
      </c>
      <c r="W832" s="304">
        <f t="shared" ca="1" si="352"/>
        <v>59.240817993820507</v>
      </c>
      <c r="Y832" s="314" t="str">
        <f t="shared" ca="1" si="370"/>
        <v/>
      </c>
      <c r="Z832" s="315" t="str">
        <f t="shared" ca="1" si="371"/>
        <v/>
      </c>
      <c r="AA832" s="316" t="str">
        <f t="shared" ca="1" si="372"/>
        <v/>
      </c>
      <c r="AC832" s="310" t="e">
        <f t="shared" ca="1" si="373"/>
        <v>#N/A</v>
      </c>
      <c r="AD832" s="323" t="e">
        <f t="shared" ca="1" si="374"/>
        <v>#N/A</v>
      </c>
      <c r="AE832" s="324" t="e">
        <f t="shared" ca="1" si="353"/>
        <v>#N/A</v>
      </c>
      <c r="AG832" s="306">
        <f t="shared" ca="1" si="375"/>
        <v>2.3362179934904761</v>
      </c>
      <c r="AH832" s="304">
        <f t="shared" ca="1" si="376"/>
        <v>-7.426415676046866</v>
      </c>
    </row>
    <row r="833" spans="1:34" x14ac:dyDescent="0.2">
      <c r="A833" s="347">
        <f t="shared" ca="1" si="354"/>
        <v>1E-4</v>
      </c>
      <c r="B833" s="304">
        <f t="shared" ca="1" si="355"/>
        <v>33.631300000001247</v>
      </c>
      <c r="D833" s="306">
        <f t="shared" ca="1" si="356"/>
        <v>-0.72890083234835712</v>
      </c>
      <c r="E833" s="307">
        <f t="shared" ca="1" si="357"/>
        <v>-2.4194037973650779</v>
      </c>
      <c r="F833" s="304">
        <f t="shared" ca="1" si="358"/>
        <v>2.526818386450179</v>
      </c>
      <c r="G833" s="306">
        <f t="shared" ca="1" si="359"/>
        <v>11.872078779214325</v>
      </c>
      <c r="H833" s="307">
        <f t="shared" ca="1" si="360"/>
        <v>-120.37639621301263</v>
      </c>
      <c r="I833" s="304">
        <f t="shared" ca="1" si="361"/>
        <v>120.96041922782871</v>
      </c>
      <c r="J833" s="306">
        <f t="shared" ca="1" si="362"/>
        <v>755.70453742140728</v>
      </c>
      <c r="K833" s="307">
        <f t="shared" ca="1" si="363"/>
        <v>-6.1469558785168461</v>
      </c>
      <c r="L833" s="304">
        <f t="shared" ca="1" si="348"/>
        <v>755.72953690184409</v>
      </c>
      <c r="M833" s="306">
        <f t="shared" ca="1" si="364"/>
        <v>-1.4724896011811235</v>
      </c>
      <c r="N833" s="304">
        <f t="shared" ca="1" si="365"/>
        <v>-84.367439524580178</v>
      </c>
      <c r="P833" s="310">
        <f t="shared" ca="1" si="366"/>
        <v>23</v>
      </c>
      <c r="Q833" s="304">
        <f t="shared" ca="1" si="367"/>
        <v>0</v>
      </c>
      <c r="R833" s="306">
        <f t="shared" ca="1" si="368"/>
        <v>0</v>
      </c>
      <c r="S833" s="307">
        <f t="shared" ca="1" si="369"/>
        <v>7.9769999999999968</v>
      </c>
      <c r="T833" s="304">
        <f t="shared" ca="1" si="349"/>
        <v>78.254369999999966</v>
      </c>
      <c r="U833" s="311">
        <f t="shared" ca="1" si="350"/>
        <v>0</v>
      </c>
      <c r="V833" s="306">
        <f t="shared" ca="1" si="351"/>
        <v>1.2257532335998036</v>
      </c>
      <c r="W833" s="304">
        <f t="shared" ca="1" si="352"/>
        <v>59.241118137426824</v>
      </c>
      <c r="Y833" s="314" t="str">
        <f t="shared" ca="1" si="370"/>
        <v/>
      </c>
      <c r="Z833" s="315" t="str">
        <f t="shared" ca="1" si="371"/>
        <v/>
      </c>
      <c r="AA833" s="316" t="str">
        <f t="shared" ca="1" si="372"/>
        <v/>
      </c>
      <c r="AC833" s="310" t="e">
        <f t="shared" ca="1" si="373"/>
        <v>#N/A</v>
      </c>
      <c r="AD833" s="323" t="e">
        <f t="shared" ca="1" si="374"/>
        <v>#N/A</v>
      </c>
      <c r="AE833" s="324" t="e">
        <f t="shared" ca="1" si="353"/>
        <v>#N/A</v>
      </c>
      <c r="AG833" s="306">
        <f t="shared" ca="1" si="375"/>
        <v>2.3361811334992559</v>
      </c>
      <c r="AH833" s="304">
        <f t="shared" ca="1" si="376"/>
        <v>-7.4264533024721739</v>
      </c>
    </row>
    <row r="834" spans="1:34" x14ac:dyDescent="0.2">
      <c r="A834" s="347">
        <f t="shared" ca="1" si="354"/>
        <v>1E-4</v>
      </c>
      <c r="B834" s="304">
        <f t="shared" ca="1" si="355"/>
        <v>33.63140000000125</v>
      </c>
      <c r="D834" s="306">
        <f t="shared" ca="1" si="356"/>
        <v>-0.72889864238460378</v>
      </c>
      <c r="E834" s="307">
        <f t="shared" ca="1" si="357"/>
        <v>-2.4193657727039843</v>
      </c>
      <c r="F834" s="304">
        <f t="shared" ca="1" si="358"/>
        <v>2.526781346496302</v>
      </c>
      <c r="G834" s="306">
        <f t="shared" ca="1" si="359"/>
        <v>11.872005889350087</v>
      </c>
      <c r="H834" s="307">
        <f t="shared" ca="1" si="360"/>
        <v>-120.37663814958989</v>
      </c>
      <c r="I834" s="304">
        <f t="shared" ca="1" si="361"/>
        <v>120.96065284229439</v>
      </c>
      <c r="J834" s="306">
        <f t="shared" ca="1" si="362"/>
        <v>755.70453742140728</v>
      </c>
      <c r="K834" s="307">
        <f t="shared" ca="1" si="363"/>
        <v>-6.1589935302349765</v>
      </c>
      <c r="L834" s="304">
        <f t="shared" ca="1" si="348"/>
        <v>755.72963490960751</v>
      </c>
      <c r="M834" s="306">
        <f t="shared" ca="1" si="364"/>
        <v>-1.4724903971725163</v>
      </c>
      <c r="N834" s="304">
        <f t="shared" ca="1" si="365"/>
        <v>-84.367485131527516</v>
      </c>
      <c r="P834" s="310">
        <f t="shared" ca="1" si="366"/>
        <v>23</v>
      </c>
      <c r="Q834" s="304">
        <f t="shared" ca="1" si="367"/>
        <v>0</v>
      </c>
      <c r="R834" s="306">
        <f t="shared" ca="1" si="368"/>
        <v>0</v>
      </c>
      <c r="S834" s="307">
        <f t="shared" ca="1" si="369"/>
        <v>7.9769999999999968</v>
      </c>
      <c r="T834" s="304">
        <f t="shared" ca="1" si="349"/>
        <v>78.254369999999966</v>
      </c>
      <c r="U834" s="311">
        <f t="shared" ca="1" si="350"/>
        <v>0</v>
      </c>
      <c r="V834" s="306">
        <f t="shared" ca="1" si="351"/>
        <v>1.2257547091198835</v>
      </c>
      <c r="W834" s="304">
        <f t="shared" ca="1" si="352"/>
        <v>59.241418278644723</v>
      </c>
      <c r="Y834" s="314" t="str">
        <f t="shared" ca="1" si="370"/>
        <v/>
      </c>
      <c r="Z834" s="315" t="str">
        <f t="shared" ca="1" si="371"/>
        <v/>
      </c>
      <c r="AA834" s="316" t="str">
        <f t="shared" ca="1" si="372"/>
        <v/>
      </c>
      <c r="AC834" s="310" t="e">
        <f t="shared" ca="1" si="373"/>
        <v>#N/A</v>
      </c>
      <c r="AD834" s="323" t="e">
        <f t="shared" ca="1" si="374"/>
        <v>#N/A</v>
      </c>
      <c r="AE834" s="324" t="e">
        <f t="shared" ca="1" si="353"/>
        <v>#N/A</v>
      </c>
      <c r="AG834" s="306">
        <f t="shared" ca="1" si="375"/>
        <v>2.3361442737935869</v>
      </c>
      <c r="AH834" s="304">
        <f t="shared" ca="1" si="376"/>
        <v>-7.4264909285980751</v>
      </c>
    </row>
    <row r="835" spans="1:34" x14ac:dyDescent="0.2">
      <c r="A835" s="347">
        <f t="shared" ca="1" si="354"/>
        <v>1E-4</v>
      </c>
      <c r="B835" s="304">
        <f t="shared" ca="1" si="355"/>
        <v>33.631500000001253</v>
      </c>
      <c r="D835" s="306">
        <f t="shared" ca="1" si="356"/>
        <v>-0.72889645239023382</v>
      </c>
      <c r="E835" s="307">
        <f t="shared" ca="1" si="357"/>
        <v>-2.4193277483454638</v>
      </c>
      <c r="F835" s="304">
        <f t="shared" ca="1" si="358"/>
        <v>2.5267443068544551</v>
      </c>
      <c r="G835" s="306">
        <f t="shared" ca="1" si="359"/>
        <v>11.871932999704848</v>
      </c>
      <c r="H835" s="307">
        <f t="shared" ca="1" si="360"/>
        <v>-120.37688008236474</v>
      </c>
      <c r="I835" s="304">
        <f t="shared" ca="1" si="361"/>
        <v>120.96088645307417</v>
      </c>
      <c r="J835" s="306">
        <f t="shared" ca="1" si="362"/>
        <v>755.70453742140728</v>
      </c>
      <c r="K835" s="307">
        <f t="shared" ca="1" si="363"/>
        <v>-6.1710312061465746</v>
      </c>
      <c r="L835" s="304">
        <f t="shared" ca="1" si="348"/>
        <v>755.72973310929774</v>
      </c>
      <c r="M835" s="306">
        <f t="shared" ca="1" si="364"/>
        <v>-1.4724911931559475</v>
      </c>
      <c r="N835" s="304">
        <f t="shared" ca="1" si="365"/>
        <v>-84.367530738018687</v>
      </c>
      <c r="P835" s="310">
        <f t="shared" ca="1" si="366"/>
        <v>23</v>
      </c>
      <c r="Q835" s="304">
        <f t="shared" ca="1" si="367"/>
        <v>0</v>
      </c>
      <c r="R835" s="306">
        <f t="shared" ca="1" si="368"/>
        <v>0</v>
      </c>
      <c r="S835" s="307">
        <f t="shared" ca="1" si="369"/>
        <v>7.9769999999999968</v>
      </c>
      <c r="T835" s="304">
        <f t="shared" ca="1" si="349"/>
        <v>78.254369999999966</v>
      </c>
      <c r="U835" s="311">
        <f t="shared" ca="1" si="350"/>
        <v>0</v>
      </c>
      <c r="V835" s="306">
        <f t="shared" ca="1" si="351"/>
        <v>1.2257561846447051</v>
      </c>
      <c r="W835" s="304">
        <f t="shared" ca="1" si="352"/>
        <v>59.241718417474225</v>
      </c>
      <c r="Y835" s="314" t="str">
        <f t="shared" ca="1" si="370"/>
        <v/>
      </c>
      <c r="Z835" s="315" t="str">
        <f t="shared" ca="1" si="371"/>
        <v/>
      </c>
      <c r="AA835" s="316" t="str">
        <f t="shared" ca="1" si="372"/>
        <v/>
      </c>
      <c r="AC835" s="310" t="e">
        <f t="shared" ca="1" si="373"/>
        <v>#N/A</v>
      </c>
      <c r="AD835" s="323" t="e">
        <f t="shared" ca="1" si="374"/>
        <v>#N/A</v>
      </c>
      <c r="AE835" s="324" t="e">
        <f t="shared" ca="1" si="353"/>
        <v>#N/A</v>
      </c>
      <c r="AG835" s="306">
        <f t="shared" ca="1" si="375"/>
        <v>2.3361074143734797</v>
      </c>
      <c r="AH835" s="304">
        <f t="shared" ca="1" si="376"/>
        <v>-7.4265285544245643</v>
      </c>
    </row>
    <row r="836" spans="1:34" x14ac:dyDescent="0.2">
      <c r="A836" s="347">
        <f t="shared" ca="1" si="354"/>
        <v>1E-4</v>
      </c>
      <c r="B836" s="304">
        <f t="shared" ca="1" si="355"/>
        <v>33.631600000001256</v>
      </c>
      <c r="D836" s="306">
        <f t="shared" ca="1" si="356"/>
        <v>-0.72889426236524746</v>
      </c>
      <c r="E836" s="307">
        <f t="shared" ca="1" si="357"/>
        <v>-2.4192897242895155</v>
      </c>
      <c r="F836" s="304">
        <f t="shared" ca="1" si="358"/>
        <v>2.5267072675246371</v>
      </c>
      <c r="G836" s="306">
        <f t="shared" ca="1" si="359"/>
        <v>11.871860110278611</v>
      </c>
      <c r="H836" s="307">
        <f t="shared" ca="1" si="360"/>
        <v>-120.37712201133716</v>
      </c>
      <c r="I836" s="304">
        <f t="shared" ca="1" si="361"/>
        <v>120.96112006016801</v>
      </c>
      <c r="J836" s="306">
        <f t="shared" ca="1" si="362"/>
        <v>755.70453742140728</v>
      </c>
      <c r="K836" s="307">
        <f t="shared" ca="1" si="363"/>
        <v>-6.1830689062512594</v>
      </c>
      <c r="L836" s="304">
        <f t="shared" ref="L836:L899" ca="1" si="377">SQRT(pos_x^2+pos_z^2)</f>
        <v>755.72983150091579</v>
      </c>
      <c r="M836" s="306">
        <f t="shared" ca="1" si="364"/>
        <v>-1.4724919891314172</v>
      </c>
      <c r="N836" s="304">
        <f t="shared" ca="1" si="365"/>
        <v>-84.367576344053688</v>
      </c>
      <c r="P836" s="310">
        <f t="shared" ca="1" si="366"/>
        <v>23</v>
      </c>
      <c r="Q836" s="304">
        <f t="shared" ca="1" si="367"/>
        <v>0</v>
      </c>
      <c r="R836" s="306">
        <f t="shared" ca="1" si="368"/>
        <v>0</v>
      </c>
      <c r="S836" s="307">
        <f t="shared" ca="1" si="369"/>
        <v>7.9769999999999968</v>
      </c>
      <c r="T836" s="304">
        <f t="shared" ref="T836:T899" ca="1" si="378">m*g</f>
        <v>78.254369999999966</v>
      </c>
      <c r="U836" s="311">
        <f t="shared" ref="U836:U899" ca="1" si="379">IF(pos_xz&lt;L_rampe,Poids*COS(Beta),0)</f>
        <v>0</v>
      </c>
      <c r="V836" s="306">
        <f t="shared" ref="V836:V899" ca="1" si="380">Rho_moyen*(20000-Alt_rampe-pos_z)/(20000+Alt_rampe+pos_z)</f>
        <v>1.2257576601742692</v>
      </c>
      <c r="W836" s="304">
        <f t="shared" ref="W836:W899" ca="1" si="381">1/2*Rho*Sref*Cx*vit_xz^2</f>
        <v>59.242018553915315</v>
      </c>
      <c r="Y836" s="314" t="str">
        <f t="shared" ca="1" si="370"/>
        <v/>
      </c>
      <c r="Z836" s="315" t="str">
        <f t="shared" ca="1" si="371"/>
        <v/>
      </c>
      <c r="AA836" s="316" t="str">
        <f t="shared" ca="1" si="372"/>
        <v/>
      </c>
      <c r="AC836" s="310" t="e">
        <f t="shared" ca="1" si="373"/>
        <v>#N/A</v>
      </c>
      <c r="AD836" s="323" t="e">
        <f t="shared" ca="1" si="374"/>
        <v>#N/A</v>
      </c>
      <c r="AE836" s="324" t="e">
        <f t="shared" ref="AE836:AE899" ca="1" si="382">IF(t&lt;T_para, pos_z, NA())</f>
        <v>#N/A</v>
      </c>
      <c r="AG836" s="306">
        <f t="shared" ca="1" si="375"/>
        <v>2.3360705552389351</v>
      </c>
      <c r="AH836" s="304">
        <f t="shared" ca="1" si="376"/>
        <v>-7.4265661799516423</v>
      </c>
    </row>
    <row r="837" spans="1:34" x14ac:dyDescent="0.2">
      <c r="A837" s="347">
        <f t="shared" ref="A837:A900" ca="1" si="383">IF(B836+0.01&lt;=T_ini+ROUNDUP(Temps_fin_propu,0), 0.01, IF(K836&gt;0, 0.1, 0.0001))</f>
        <v>1E-4</v>
      </c>
      <c r="B837" s="304">
        <f t="shared" ref="B837:B900" ca="1" si="384">B836+pas</f>
        <v>33.63170000000126</v>
      </c>
      <c r="D837" s="306">
        <f t="shared" ref="D837:D900" ca="1" si="385">IF(AND(L836&lt;L_rampe,Poussee&lt;Poids*SIN(M836)),0,(-W836+Poussee)/m*COS(M836)-U836/m*SIN(M836))</f>
        <v>-0.72889207230964448</v>
      </c>
      <c r="E837" s="307">
        <f t="shared" ref="E837:E900" ca="1" si="386">IF(AND(L836&lt;L_rampe,Poussee&lt;Poids*SIN(M836)),0,(-W836+Poussee)/m*SIN(M836)+U836/m*COS(M836)-Poids/m)</f>
        <v>-2.4192517005361411</v>
      </c>
      <c r="F837" s="304">
        <f t="shared" ref="F837:F900" ca="1" si="387">SQRT(acc_x^2+acc_z^2)</f>
        <v>2.5266702285068501</v>
      </c>
      <c r="G837" s="306">
        <f t="shared" ref="G837:G900" ca="1" si="388">G836+acc_x*pas</f>
        <v>11.871787221071379</v>
      </c>
      <c r="H837" s="307">
        <f t="shared" ref="H837:H900" ca="1" si="389">H836+acc_z*pas</f>
        <v>-120.37736393650722</v>
      </c>
      <c r="I837" s="304">
        <f t="shared" ref="I837:I900" ca="1" si="390">SQRT(vit_x^2+vit_z^2)</f>
        <v>120.96135366357596</v>
      </c>
      <c r="J837" s="306">
        <f t="shared" ref="J837:J900" ca="1" si="391">J836+0.5*(vit_x+G836)*pas*(K836&gt;=0)</f>
        <v>755.70453742140728</v>
      </c>
      <c r="K837" s="307">
        <f t="shared" ref="K837:K900" ca="1" si="392">K836+0.5*(vit_z+H836)*pas</f>
        <v>-6.1951066305486515</v>
      </c>
      <c r="L837" s="304">
        <f t="shared" ca="1" si="377"/>
        <v>755.72993008446281</v>
      </c>
      <c r="M837" s="306">
        <f t="shared" ref="M837:M900" ca="1" si="393">IF(AND(L836&gt;L_rampe,G837&gt;0),ATAN2(G837,H837),$M$4)</f>
        <v>-1.4724927850989256</v>
      </c>
      <c r="N837" s="304">
        <f t="shared" ref="N837:N900" ca="1" si="394">DEGREES(Beta)</f>
        <v>-84.36762194963255</v>
      </c>
      <c r="P837" s="310">
        <f t="shared" ref="P837:P900" ca="1" si="395">MATCH(t-pas/2-T_ini,CdP_t)</f>
        <v>23</v>
      </c>
      <c r="Q837" s="304">
        <f t="shared" ref="Q837:Q900" ca="1" si="396">(INDEX(CdP,2,i_P+1)-INDEX(CdP,2,i_P+0))/(INDEX(CdP,1,i_P+1)-INDEX(CdP,1,i_P+0))*(t-pas/2-T_ini-INDEX(CdP,1,i_P+0))+INDEX(CdP,2,i_P+0)</f>
        <v>0</v>
      </c>
      <c r="R837" s="306">
        <f t="shared" ref="R837:R900" ca="1" si="397">Poussee/(g*ISP)</f>
        <v>0</v>
      </c>
      <c r="S837" s="307">
        <f t="shared" ref="S837:S900" ca="1" si="398">S836-Débit*pas</f>
        <v>7.9769999999999968</v>
      </c>
      <c r="T837" s="304">
        <f t="shared" ca="1" si="378"/>
        <v>78.254369999999966</v>
      </c>
      <c r="U837" s="311">
        <f t="shared" ca="1" si="379"/>
        <v>0</v>
      </c>
      <c r="V837" s="306">
        <f t="shared" ca="1" si="380"/>
        <v>1.2257591357085753</v>
      </c>
      <c r="W837" s="304">
        <f t="shared" ca="1" si="381"/>
        <v>59.242318687967995</v>
      </c>
      <c r="Y837" s="314" t="str">
        <f t="shared" ref="Y837:Y900" ca="1" si="399">IF(AND(pos_z&lt;=0,K836&gt;0),"Impact balistique","") &amp; IF(AND(H838&lt;0,vit_z&gt;=0),"Apogée","") &amp; IF(AND(Poussee=0,Q836&gt;0),"Fin de propulsion","") &amp; IF(AND(L838&gt;L_rampe,pos_xz&lt;=L_rampe),"Sortie de rampe","")</f>
        <v/>
      </c>
      <c r="Z837" s="315" t="str">
        <f t="shared" ref="Z837:Z900" ca="1" si="400">IF(ABS(t-T_para)&lt;pas/2,"Para","")</f>
        <v/>
      </c>
      <c r="AA837" s="316" t="str">
        <f t="shared" ref="AA837:AA900" ca="1" si="401">IF(ABS(t-T_satellite)&lt;pas/2,"Satellite","")</f>
        <v/>
      </c>
      <c r="AC837" s="310" t="e">
        <f t="shared" ref="AC837:AC900" ca="1" si="402">IF(ABS(t-ROUND(t,0))&lt;0.001,t,NA())</f>
        <v>#N/A</v>
      </c>
      <c r="AD837" s="323" t="e">
        <f t="shared" ref="AD837:AD900" ca="1" si="403">IF(ABS(t-ROUND(t,0))&lt;0.001,pos_x,NA())</f>
        <v>#N/A</v>
      </c>
      <c r="AE837" s="324" t="e">
        <f t="shared" ca="1" si="382"/>
        <v>#N/A</v>
      </c>
      <c r="AG837" s="306">
        <f t="shared" ref="AG837:AG900" ca="1" si="404">IF(AND(L836&lt;L_rampe,Poussee&lt;Poids*SIN(M836)),0,(-W836+Poussee)/m-Poids*SIN(M836)/m)</f>
        <v>2.3360336963899488</v>
      </c>
      <c r="AH837" s="304">
        <f t="shared" ref="AH837:AH900" ca="1" si="405">IF(AND(L836&lt;L_rampe,Poussee&lt;Poids*SIN(M836)), g*SIN(M836), (-W836+Poussee)/m)</f>
        <v>-7.4266038051793082</v>
      </c>
    </row>
    <row r="838" spans="1:34" x14ac:dyDescent="0.2">
      <c r="A838" s="347">
        <f t="shared" ca="1" si="383"/>
        <v>1E-4</v>
      </c>
      <c r="B838" s="304">
        <f t="shared" ca="1" si="384"/>
        <v>33.631800000001263</v>
      </c>
      <c r="D838" s="306">
        <f t="shared" ca="1" si="385"/>
        <v>-0.72888988222342654</v>
      </c>
      <c r="E838" s="307">
        <f t="shared" ca="1" si="386"/>
        <v>-2.4192136770853407</v>
      </c>
      <c r="F838" s="304">
        <f t="shared" ca="1" si="387"/>
        <v>2.5266331898010952</v>
      </c>
      <c r="G838" s="306">
        <f t="shared" ca="1" si="388"/>
        <v>11.871714332083156</v>
      </c>
      <c r="H838" s="307">
        <f t="shared" ca="1" si="389"/>
        <v>-120.37760585787493</v>
      </c>
      <c r="I838" s="304">
        <f t="shared" ca="1" si="390"/>
        <v>120.96158726329806</v>
      </c>
      <c r="J838" s="306">
        <f t="shared" ca="1" si="391"/>
        <v>755.70453742140728</v>
      </c>
      <c r="K838" s="307">
        <f t="shared" ca="1" si="392"/>
        <v>-6.2071443790383709</v>
      </c>
      <c r="L838" s="304">
        <f t="shared" ca="1" si="377"/>
        <v>755.73002885993969</v>
      </c>
      <c r="M838" s="306">
        <f t="shared" ca="1" si="393"/>
        <v>-1.4724935810584725</v>
      </c>
      <c r="N838" s="304">
        <f t="shared" ca="1" si="394"/>
        <v>-84.367667554755258</v>
      </c>
      <c r="P838" s="310">
        <f t="shared" ca="1" si="395"/>
        <v>23</v>
      </c>
      <c r="Q838" s="304">
        <f t="shared" ca="1" si="396"/>
        <v>0</v>
      </c>
      <c r="R838" s="306">
        <f t="shared" ca="1" si="397"/>
        <v>0</v>
      </c>
      <c r="S838" s="307">
        <f t="shared" ca="1" si="398"/>
        <v>7.9769999999999968</v>
      </c>
      <c r="T838" s="304">
        <f t="shared" ca="1" si="378"/>
        <v>78.254369999999966</v>
      </c>
      <c r="U838" s="311">
        <f t="shared" ca="1" si="379"/>
        <v>0</v>
      </c>
      <c r="V838" s="306">
        <f t="shared" ca="1" si="380"/>
        <v>1.2257606112476238</v>
      </c>
      <c r="W838" s="304">
        <f t="shared" ca="1" si="381"/>
        <v>59.242618819632291</v>
      </c>
      <c r="Y838" s="314" t="str">
        <f t="shared" ca="1" si="399"/>
        <v/>
      </c>
      <c r="Z838" s="315" t="str">
        <f t="shared" ca="1" si="400"/>
        <v/>
      </c>
      <c r="AA838" s="316" t="str">
        <f t="shared" ca="1" si="401"/>
        <v/>
      </c>
      <c r="AC838" s="310" t="e">
        <f t="shared" ca="1" si="402"/>
        <v>#N/A</v>
      </c>
      <c r="AD838" s="323" t="e">
        <f t="shared" ca="1" si="403"/>
        <v>#N/A</v>
      </c>
      <c r="AE838" s="324" t="e">
        <f t="shared" ca="1" si="382"/>
        <v>#N/A</v>
      </c>
      <c r="AG838" s="306">
        <f t="shared" ca="1" si="404"/>
        <v>2.3359968378265252</v>
      </c>
      <c r="AH838" s="304">
        <f t="shared" ca="1" si="405"/>
        <v>-7.4266414301075612</v>
      </c>
    </row>
    <row r="839" spans="1:34" x14ac:dyDescent="0.2">
      <c r="A839" s="347">
        <f t="shared" ca="1" si="383"/>
        <v>1E-4</v>
      </c>
      <c r="B839" s="304">
        <f t="shared" ca="1" si="384"/>
        <v>33.631900000001266</v>
      </c>
      <c r="D839" s="306">
        <f t="shared" ca="1" si="385"/>
        <v>-0.72888769210659565</v>
      </c>
      <c r="E839" s="307">
        <f t="shared" ca="1" si="386"/>
        <v>-2.4191756539371099</v>
      </c>
      <c r="F839" s="304">
        <f t="shared" ca="1" si="387"/>
        <v>2.5265961514073676</v>
      </c>
      <c r="G839" s="306">
        <f t="shared" ca="1" si="388"/>
        <v>11.871641443313946</v>
      </c>
      <c r="H839" s="307">
        <f t="shared" ca="1" si="389"/>
        <v>-120.37784777544032</v>
      </c>
      <c r="I839" s="304">
        <f t="shared" ca="1" si="390"/>
        <v>120.96182085933434</v>
      </c>
      <c r="J839" s="306">
        <f t="shared" ca="1" si="391"/>
        <v>755.70453742140728</v>
      </c>
      <c r="K839" s="307">
        <f t="shared" ca="1" si="392"/>
        <v>-6.2191821517200365</v>
      </c>
      <c r="L839" s="304">
        <f t="shared" ca="1" si="377"/>
        <v>755.73012782734781</v>
      </c>
      <c r="M839" s="306">
        <f t="shared" ca="1" si="393"/>
        <v>-1.4724943770100583</v>
      </c>
      <c r="N839" s="304">
        <f t="shared" ca="1" si="394"/>
        <v>-84.367713159421811</v>
      </c>
      <c r="P839" s="310">
        <f t="shared" ca="1" si="395"/>
        <v>23</v>
      </c>
      <c r="Q839" s="304">
        <f t="shared" ca="1" si="396"/>
        <v>0</v>
      </c>
      <c r="R839" s="306">
        <f t="shared" ca="1" si="397"/>
        <v>0</v>
      </c>
      <c r="S839" s="307">
        <f t="shared" ca="1" si="398"/>
        <v>7.9769999999999968</v>
      </c>
      <c r="T839" s="304">
        <f t="shared" ca="1" si="378"/>
        <v>78.254369999999966</v>
      </c>
      <c r="U839" s="311">
        <f t="shared" ca="1" si="379"/>
        <v>0</v>
      </c>
      <c r="V839" s="306">
        <f t="shared" ca="1" si="380"/>
        <v>1.2257620867914141</v>
      </c>
      <c r="W839" s="304">
        <f t="shared" ca="1" si="381"/>
        <v>59.242918948908155</v>
      </c>
      <c r="Y839" s="314" t="str">
        <f t="shared" ca="1" si="399"/>
        <v/>
      </c>
      <c r="Z839" s="315" t="str">
        <f t="shared" ca="1" si="400"/>
        <v/>
      </c>
      <c r="AA839" s="316" t="str">
        <f t="shared" ca="1" si="401"/>
        <v/>
      </c>
      <c r="AC839" s="310" t="e">
        <f t="shared" ca="1" si="402"/>
        <v>#N/A</v>
      </c>
      <c r="AD839" s="323" t="e">
        <f t="shared" ca="1" si="403"/>
        <v>#N/A</v>
      </c>
      <c r="AE839" s="324" t="e">
        <f t="shared" ca="1" si="382"/>
        <v>#N/A</v>
      </c>
      <c r="AG839" s="306">
        <f t="shared" ca="1" si="404"/>
        <v>2.335959979548659</v>
      </c>
      <c r="AH839" s="304">
        <f t="shared" ca="1" si="405"/>
        <v>-7.4266790547364065</v>
      </c>
    </row>
    <row r="840" spans="1:34" x14ac:dyDescent="0.2">
      <c r="A840" s="347">
        <f t="shared" ca="1" si="383"/>
        <v>1E-4</v>
      </c>
      <c r="B840" s="304">
        <f t="shared" ca="1" si="384"/>
        <v>33.63200000000127</v>
      </c>
      <c r="D840" s="306">
        <f t="shared" ca="1" si="385"/>
        <v>-0.72888550195915103</v>
      </c>
      <c r="E840" s="307">
        <f t="shared" ca="1" si="386"/>
        <v>-2.4191376310914547</v>
      </c>
      <c r="F840" s="304">
        <f t="shared" ca="1" si="387"/>
        <v>2.5265591133256744</v>
      </c>
      <c r="G840" s="306">
        <f t="shared" ca="1" si="388"/>
        <v>11.87156855476375</v>
      </c>
      <c r="H840" s="307">
        <f t="shared" ca="1" si="389"/>
        <v>-120.37808968920342</v>
      </c>
      <c r="I840" s="304">
        <f t="shared" ca="1" si="390"/>
        <v>120.96205445168481</v>
      </c>
      <c r="J840" s="306">
        <f t="shared" ca="1" si="391"/>
        <v>755.70453742140728</v>
      </c>
      <c r="K840" s="307">
        <f t="shared" ca="1" si="392"/>
        <v>-6.2312199485932691</v>
      </c>
      <c r="L840" s="304">
        <f t="shared" ca="1" si="377"/>
        <v>755.73022698668797</v>
      </c>
      <c r="M840" s="306">
        <f t="shared" ca="1" si="393"/>
        <v>-1.4724951729536828</v>
      </c>
      <c r="N840" s="304">
        <f t="shared" ca="1" si="394"/>
        <v>-84.367758763632239</v>
      </c>
      <c r="P840" s="310">
        <f t="shared" ca="1" si="395"/>
        <v>23</v>
      </c>
      <c r="Q840" s="304">
        <f t="shared" ca="1" si="396"/>
        <v>0</v>
      </c>
      <c r="R840" s="306">
        <f t="shared" ca="1" si="397"/>
        <v>0</v>
      </c>
      <c r="S840" s="307">
        <f t="shared" ca="1" si="398"/>
        <v>7.9769999999999968</v>
      </c>
      <c r="T840" s="304">
        <f t="shared" ca="1" si="378"/>
        <v>78.254369999999966</v>
      </c>
      <c r="U840" s="311">
        <f t="shared" ca="1" si="379"/>
        <v>0</v>
      </c>
      <c r="V840" s="306">
        <f t="shared" ca="1" si="380"/>
        <v>1.225763562339947</v>
      </c>
      <c r="W840" s="304">
        <f t="shared" ca="1" si="381"/>
        <v>59.243219075795643</v>
      </c>
      <c r="Y840" s="314" t="str">
        <f t="shared" ca="1" si="399"/>
        <v/>
      </c>
      <c r="Z840" s="315" t="str">
        <f t="shared" ca="1" si="400"/>
        <v/>
      </c>
      <c r="AA840" s="316" t="str">
        <f t="shared" ca="1" si="401"/>
        <v/>
      </c>
      <c r="AC840" s="310" t="e">
        <f t="shared" ca="1" si="402"/>
        <v>#N/A</v>
      </c>
      <c r="AD840" s="323" t="e">
        <f t="shared" ca="1" si="403"/>
        <v>#N/A</v>
      </c>
      <c r="AE840" s="324" t="e">
        <f t="shared" ca="1" si="382"/>
        <v>#N/A</v>
      </c>
      <c r="AG840" s="306">
        <f t="shared" ca="1" si="404"/>
        <v>2.3359231215563581</v>
      </c>
      <c r="AH840" s="304">
        <f t="shared" ca="1" si="405"/>
        <v>-7.4267166790658363</v>
      </c>
    </row>
    <row r="841" spans="1:34" x14ac:dyDescent="0.2">
      <c r="A841" s="347">
        <f t="shared" ca="1" si="383"/>
        <v>1E-4</v>
      </c>
      <c r="B841" s="304">
        <f t="shared" ca="1" si="384"/>
        <v>33.632100000001273</v>
      </c>
      <c r="D841" s="306">
        <f t="shared" ca="1" si="385"/>
        <v>-0.72888331178109522</v>
      </c>
      <c r="E841" s="307">
        <f t="shared" ca="1" si="386"/>
        <v>-2.4190996085483683</v>
      </c>
      <c r="F841" s="304">
        <f t="shared" ca="1" si="387"/>
        <v>2.5265220755560094</v>
      </c>
      <c r="G841" s="306">
        <f t="shared" ca="1" si="388"/>
        <v>11.871495666432571</v>
      </c>
      <c r="H841" s="307">
        <f t="shared" ca="1" si="389"/>
        <v>-120.37833159916427</v>
      </c>
      <c r="I841" s="304">
        <f t="shared" ca="1" si="390"/>
        <v>120.96228804034949</v>
      </c>
      <c r="J841" s="306">
        <f t="shared" ca="1" si="391"/>
        <v>755.70453742140728</v>
      </c>
      <c r="K841" s="307">
        <f t="shared" ca="1" si="392"/>
        <v>-6.2432577696576876</v>
      </c>
      <c r="L841" s="304">
        <f t="shared" ca="1" si="377"/>
        <v>755.7303263379614</v>
      </c>
      <c r="M841" s="306">
        <f t="shared" ca="1" si="393"/>
        <v>-1.4724959688893466</v>
      </c>
      <c r="N841" s="304">
        <f t="shared" ca="1" si="394"/>
        <v>-84.367804367386526</v>
      </c>
      <c r="P841" s="310">
        <f t="shared" ca="1" si="395"/>
        <v>23</v>
      </c>
      <c r="Q841" s="304">
        <f t="shared" ca="1" si="396"/>
        <v>0</v>
      </c>
      <c r="R841" s="306">
        <f t="shared" ca="1" si="397"/>
        <v>0</v>
      </c>
      <c r="S841" s="307">
        <f t="shared" ca="1" si="398"/>
        <v>7.9769999999999968</v>
      </c>
      <c r="T841" s="304">
        <f t="shared" ca="1" si="378"/>
        <v>78.254369999999966</v>
      </c>
      <c r="U841" s="311">
        <f t="shared" ca="1" si="379"/>
        <v>0</v>
      </c>
      <c r="V841" s="306">
        <f t="shared" ca="1" si="380"/>
        <v>1.2257650378932214</v>
      </c>
      <c r="W841" s="304">
        <f t="shared" ca="1" si="381"/>
        <v>59.243519200294656</v>
      </c>
      <c r="Y841" s="314" t="str">
        <f t="shared" ca="1" si="399"/>
        <v/>
      </c>
      <c r="Z841" s="315" t="str">
        <f t="shared" ca="1" si="400"/>
        <v/>
      </c>
      <c r="AA841" s="316" t="str">
        <f t="shared" ca="1" si="401"/>
        <v/>
      </c>
      <c r="AC841" s="310" t="e">
        <f t="shared" ca="1" si="402"/>
        <v>#N/A</v>
      </c>
      <c r="AD841" s="323" t="e">
        <f t="shared" ca="1" si="403"/>
        <v>#N/A</v>
      </c>
      <c r="AE841" s="324" t="e">
        <f t="shared" ca="1" si="382"/>
        <v>#N/A</v>
      </c>
      <c r="AG841" s="306">
        <f t="shared" ca="1" si="404"/>
        <v>2.3358862638496154</v>
      </c>
      <c r="AH841" s="304">
        <f t="shared" ca="1" si="405"/>
        <v>-7.4267543030958594</v>
      </c>
    </row>
    <row r="842" spans="1:34" x14ac:dyDescent="0.2">
      <c r="A842" s="347">
        <f t="shared" ca="1" si="383"/>
        <v>1E-4</v>
      </c>
      <c r="B842" s="304">
        <f t="shared" ca="1" si="384"/>
        <v>33.632200000001276</v>
      </c>
      <c r="D842" s="306">
        <f t="shared" ca="1" si="385"/>
        <v>-0.72888112157242513</v>
      </c>
      <c r="E842" s="307">
        <f t="shared" ca="1" si="386"/>
        <v>-2.4190615863078646</v>
      </c>
      <c r="F842" s="304">
        <f t="shared" ca="1" si="387"/>
        <v>2.526485038098385</v>
      </c>
      <c r="G842" s="306">
        <f t="shared" ca="1" si="388"/>
        <v>11.871422778320413</v>
      </c>
      <c r="H842" s="307">
        <f t="shared" ca="1" si="389"/>
        <v>-120.3785735053229</v>
      </c>
      <c r="I842" s="304">
        <f t="shared" ca="1" si="390"/>
        <v>120.96252162532845</v>
      </c>
      <c r="J842" s="306">
        <f t="shared" ca="1" si="391"/>
        <v>755.70453742140728</v>
      </c>
      <c r="K842" s="307">
        <f t="shared" ca="1" si="392"/>
        <v>-6.255295614912912</v>
      </c>
      <c r="L842" s="304">
        <f t="shared" ca="1" si="377"/>
        <v>755.73042588116903</v>
      </c>
      <c r="M842" s="306">
        <f t="shared" ca="1" si="393"/>
        <v>-1.4724967648170495</v>
      </c>
      <c r="N842" s="304">
        <f t="shared" ca="1" si="394"/>
        <v>-84.367849970684702</v>
      </c>
      <c r="P842" s="310">
        <f t="shared" ca="1" si="395"/>
        <v>23</v>
      </c>
      <c r="Q842" s="304">
        <f t="shared" ca="1" si="396"/>
        <v>0</v>
      </c>
      <c r="R842" s="306">
        <f t="shared" ca="1" si="397"/>
        <v>0</v>
      </c>
      <c r="S842" s="307">
        <f t="shared" ca="1" si="398"/>
        <v>7.9769999999999968</v>
      </c>
      <c r="T842" s="304">
        <f t="shared" ca="1" si="378"/>
        <v>78.254369999999966</v>
      </c>
      <c r="U842" s="311">
        <f t="shared" ca="1" si="379"/>
        <v>0</v>
      </c>
      <c r="V842" s="306">
        <f t="shared" ca="1" si="380"/>
        <v>1.2257665134512383</v>
      </c>
      <c r="W842" s="304">
        <f t="shared" ca="1" si="381"/>
        <v>59.243819322405287</v>
      </c>
      <c r="Y842" s="314" t="str">
        <f t="shared" ca="1" si="399"/>
        <v/>
      </c>
      <c r="Z842" s="315" t="str">
        <f t="shared" ca="1" si="400"/>
        <v/>
      </c>
      <c r="AA842" s="316" t="str">
        <f t="shared" ca="1" si="401"/>
        <v/>
      </c>
      <c r="AC842" s="310" t="e">
        <f t="shared" ca="1" si="402"/>
        <v>#N/A</v>
      </c>
      <c r="AD842" s="323" t="e">
        <f t="shared" ca="1" si="403"/>
        <v>#N/A</v>
      </c>
      <c r="AE842" s="324" t="e">
        <f t="shared" ca="1" si="382"/>
        <v>#N/A</v>
      </c>
      <c r="AG842" s="306">
        <f t="shared" ca="1" si="404"/>
        <v>2.3358494064284434</v>
      </c>
      <c r="AH842" s="304">
        <f t="shared" ca="1" si="405"/>
        <v>-7.4267919268264615</v>
      </c>
    </row>
    <row r="843" spans="1:34" x14ac:dyDescent="0.2">
      <c r="A843" s="347">
        <f t="shared" ca="1" si="383"/>
        <v>1E-4</v>
      </c>
      <c r="B843" s="304">
        <f t="shared" ca="1" si="384"/>
        <v>33.63230000000128</v>
      </c>
      <c r="D843" s="306">
        <f t="shared" ca="1" si="385"/>
        <v>-0.72887893133314507</v>
      </c>
      <c r="E843" s="307">
        <f t="shared" ca="1" si="386"/>
        <v>-2.4190235643699314</v>
      </c>
      <c r="F843" s="304">
        <f t="shared" ca="1" si="387"/>
        <v>2.5264480009527914</v>
      </c>
      <c r="G843" s="306">
        <f t="shared" ca="1" si="388"/>
        <v>11.871349890427281</v>
      </c>
      <c r="H843" s="307">
        <f t="shared" ca="1" si="389"/>
        <v>-120.37881540767934</v>
      </c>
      <c r="I843" s="304">
        <f t="shared" ca="1" si="390"/>
        <v>120.96275520662169</v>
      </c>
      <c r="J843" s="306">
        <f t="shared" ca="1" si="391"/>
        <v>755.70453742140728</v>
      </c>
      <c r="K843" s="307">
        <f t="shared" ca="1" si="392"/>
        <v>-6.267333484358562</v>
      </c>
      <c r="L843" s="304">
        <f t="shared" ca="1" si="377"/>
        <v>755.73052561631209</v>
      </c>
      <c r="M843" s="306">
        <f t="shared" ca="1" si="393"/>
        <v>-1.4724975607367916</v>
      </c>
      <c r="N843" s="304">
        <f t="shared" ca="1" si="394"/>
        <v>-84.367895573526752</v>
      </c>
      <c r="P843" s="310">
        <f t="shared" ca="1" si="395"/>
        <v>23</v>
      </c>
      <c r="Q843" s="304">
        <f t="shared" ca="1" si="396"/>
        <v>0</v>
      </c>
      <c r="R843" s="306">
        <f t="shared" ca="1" si="397"/>
        <v>0</v>
      </c>
      <c r="S843" s="307">
        <f t="shared" ca="1" si="398"/>
        <v>7.9769999999999968</v>
      </c>
      <c r="T843" s="304">
        <f t="shared" ca="1" si="378"/>
        <v>78.254369999999966</v>
      </c>
      <c r="U843" s="311">
        <f t="shared" ca="1" si="379"/>
        <v>0</v>
      </c>
      <c r="V843" s="306">
        <f t="shared" ca="1" si="380"/>
        <v>1.2257679890139974</v>
      </c>
      <c r="W843" s="304">
        <f t="shared" ca="1" si="381"/>
        <v>59.244119442127513</v>
      </c>
      <c r="Y843" s="314" t="str">
        <f t="shared" ca="1" si="399"/>
        <v/>
      </c>
      <c r="Z843" s="315" t="str">
        <f t="shared" ca="1" si="400"/>
        <v/>
      </c>
      <c r="AA843" s="316" t="str">
        <f t="shared" ca="1" si="401"/>
        <v/>
      </c>
      <c r="AC843" s="310" t="e">
        <f t="shared" ca="1" si="402"/>
        <v>#N/A</v>
      </c>
      <c r="AD843" s="323" t="e">
        <f t="shared" ca="1" si="403"/>
        <v>#N/A</v>
      </c>
      <c r="AE843" s="324" t="e">
        <f t="shared" ca="1" si="382"/>
        <v>#N/A</v>
      </c>
      <c r="AG843" s="306">
        <f t="shared" ca="1" si="404"/>
        <v>2.3358125492928323</v>
      </c>
      <c r="AH843" s="304">
        <f t="shared" ca="1" si="405"/>
        <v>-7.4268295502576542</v>
      </c>
    </row>
    <row r="844" spans="1:34" x14ac:dyDescent="0.2">
      <c r="A844" s="347">
        <f t="shared" ca="1" si="383"/>
        <v>1E-4</v>
      </c>
      <c r="B844" s="304">
        <f t="shared" ca="1" si="384"/>
        <v>33.632400000001283</v>
      </c>
      <c r="D844" s="306">
        <f t="shared" ca="1" si="385"/>
        <v>-0.72887674106325517</v>
      </c>
      <c r="E844" s="307">
        <f t="shared" ca="1" si="386"/>
        <v>-2.4189855427345694</v>
      </c>
      <c r="F844" s="304">
        <f t="shared" ca="1" si="387"/>
        <v>2.5264109641192287</v>
      </c>
      <c r="G844" s="306">
        <f t="shared" ca="1" si="388"/>
        <v>11.871277002753175</v>
      </c>
      <c r="H844" s="307">
        <f t="shared" ca="1" si="389"/>
        <v>-120.37905730623362</v>
      </c>
      <c r="I844" s="304">
        <f t="shared" ca="1" si="390"/>
        <v>120.96298878422927</v>
      </c>
      <c r="J844" s="306">
        <f t="shared" ca="1" si="391"/>
        <v>755.70453742140728</v>
      </c>
      <c r="K844" s="307">
        <f t="shared" ca="1" si="392"/>
        <v>-6.2793713779942575</v>
      </c>
      <c r="L844" s="304">
        <f t="shared" ca="1" si="377"/>
        <v>755.73062554339151</v>
      </c>
      <c r="M844" s="306">
        <f t="shared" ca="1" si="393"/>
        <v>-1.4724983566485732</v>
      </c>
      <c r="N844" s="304">
        <f t="shared" ca="1" si="394"/>
        <v>-84.367941175912705</v>
      </c>
      <c r="P844" s="310">
        <f t="shared" ca="1" si="395"/>
        <v>23</v>
      </c>
      <c r="Q844" s="304">
        <f t="shared" ca="1" si="396"/>
        <v>0</v>
      </c>
      <c r="R844" s="306">
        <f t="shared" ca="1" si="397"/>
        <v>0</v>
      </c>
      <c r="S844" s="307">
        <f t="shared" ca="1" si="398"/>
        <v>7.9769999999999968</v>
      </c>
      <c r="T844" s="304">
        <f t="shared" ca="1" si="378"/>
        <v>78.254369999999966</v>
      </c>
      <c r="U844" s="311">
        <f t="shared" ca="1" si="379"/>
        <v>0</v>
      </c>
      <c r="V844" s="306">
        <f t="shared" ca="1" si="380"/>
        <v>1.2257694645814978</v>
      </c>
      <c r="W844" s="304">
        <f t="shared" ca="1" si="381"/>
        <v>59.244419559461285</v>
      </c>
      <c r="Y844" s="314" t="str">
        <f t="shared" ca="1" si="399"/>
        <v/>
      </c>
      <c r="Z844" s="315" t="str">
        <f t="shared" ca="1" si="400"/>
        <v/>
      </c>
      <c r="AA844" s="316" t="str">
        <f t="shared" ca="1" si="401"/>
        <v/>
      </c>
      <c r="AC844" s="310" t="e">
        <f t="shared" ca="1" si="402"/>
        <v>#N/A</v>
      </c>
      <c r="AD844" s="323" t="e">
        <f t="shared" ca="1" si="403"/>
        <v>#N/A</v>
      </c>
      <c r="AE844" s="324" t="e">
        <f t="shared" ca="1" si="382"/>
        <v>#N/A</v>
      </c>
      <c r="AG844" s="306">
        <f t="shared" ca="1" si="404"/>
        <v>2.3357756924427813</v>
      </c>
      <c r="AH844" s="304">
        <f t="shared" ca="1" si="405"/>
        <v>-7.4268671733894367</v>
      </c>
    </row>
    <row r="845" spans="1:34" x14ac:dyDescent="0.2">
      <c r="A845" s="347">
        <f t="shared" ca="1" si="383"/>
        <v>1E-4</v>
      </c>
      <c r="B845" s="304">
        <f t="shared" ca="1" si="384"/>
        <v>33.632500000001286</v>
      </c>
      <c r="D845" s="306">
        <f t="shared" ca="1" si="385"/>
        <v>-0.72887455076275443</v>
      </c>
      <c r="E845" s="307">
        <f t="shared" ca="1" si="386"/>
        <v>-2.4189475214017877</v>
      </c>
      <c r="F845" s="304">
        <f t="shared" ca="1" si="387"/>
        <v>2.5263739275977062</v>
      </c>
      <c r="G845" s="306">
        <f t="shared" ca="1" si="388"/>
        <v>11.871204115298099</v>
      </c>
      <c r="H845" s="307">
        <f t="shared" ca="1" si="389"/>
        <v>-120.37929920098576</v>
      </c>
      <c r="I845" s="304">
        <f t="shared" ca="1" si="390"/>
        <v>120.96322235815117</v>
      </c>
      <c r="J845" s="306">
        <f t="shared" ca="1" si="391"/>
        <v>755.70453742140728</v>
      </c>
      <c r="K845" s="307">
        <f t="shared" ca="1" si="392"/>
        <v>-6.2914092958196184</v>
      </c>
      <c r="L845" s="304">
        <f t="shared" ca="1" si="377"/>
        <v>755.73072566240864</v>
      </c>
      <c r="M845" s="306">
        <f t="shared" ca="1" si="393"/>
        <v>-1.4724991525523945</v>
      </c>
      <c r="N845" s="304">
        <f t="shared" ca="1" si="394"/>
        <v>-84.36798677784256</v>
      </c>
      <c r="P845" s="310">
        <f t="shared" ca="1" si="395"/>
        <v>23</v>
      </c>
      <c r="Q845" s="304">
        <f t="shared" ca="1" si="396"/>
        <v>0</v>
      </c>
      <c r="R845" s="306">
        <f t="shared" ca="1" si="397"/>
        <v>0</v>
      </c>
      <c r="S845" s="307">
        <f t="shared" ca="1" si="398"/>
        <v>7.9769999999999968</v>
      </c>
      <c r="T845" s="304">
        <f t="shared" ca="1" si="378"/>
        <v>78.254369999999966</v>
      </c>
      <c r="U845" s="311">
        <f t="shared" ca="1" si="379"/>
        <v>0</v>
      </c>
      <c r="V845" s="306">
        <f t="shared" ca="1" si="380"/>
        <v>1.2257709401537404</v>
      </c>
      <c r="W845" s="304">
        <f t="shared" ca="1" si="381"/>
        <v>59.244719674406646</v>
      </c>
      <c r="Y845" s="314" t="str">
        <f t="shared" ca="1" si="399"/>
        <v/>
      </c>
      <c r="Z845" s="315" t="str">
        <f t="shared" ca="1" si="400"/>
        <v/>
      </c>
      <c r="AA845" s="316" t="str">
        <f t="shared" ca="1" si="401"/>
        <v/>
      </c>
      <c r="AC845" s="310" t="e">
        <f t="shared" ca="1" si="402"/>
        <v>#N/A</v>
      </c>
      <c r="AD845" s="323" t="e">
        <f t="shared" ca="1" si="403"/>
        <v>#N/A</v>
      </c>
      <c r="AE845" s="324" t="e">
        <f t="shared" ca="1" si="382"/>
        <v>#N/A</v>
      </c>
      <c r="AG845" s="306">
        <f t="shared" ca="1" si="404"/>
        <v>2.3357388358783</v>
      </c>
      <c r="AH845" s="304">
        <f t="shared" ca="1" si="405"/>
        <v>-7.4269047962218009</v>
      </c>
    </row>
    <row r="846" spans="1:34" x14ac:dyDescent="0.2">
      <c r="A846" s="347">
        <f t="shared" ca="1" si="383"/>
        <v>1E-4</v>
      </c>
      <c r="B846" s="304">
        <f t="shared" ca="1" si="384"/>
        <v>33.63260000000129</v>
      </c>
      <c r="D846" s="306">
        <f t="shared" ca="1" si="385"/>
        <v>-0.72887236043164338</v>
      </c>
      <c r="E846" s="307">
        <f t="shared" ca="1" si="386"/>
        <v>-2.4189095003715781</v>
      </c>
      <c r="F846" s="304">
        <f t="shared" ca="1" si="387"/>
        <v>2.5263368913882158</v>
      </c>
      <c r="G846" s="306">
        <f t="shared" ca="1" si="388"/>
        <v>11.871131228062055</v>
      </c>
      <c r="H846" s="307">
        <f t="shared" ca="1" si="389"/>
        <v>-120.37954109193579</v>
      </c>
      <c r="I846" s="304">
        <f t="shared" ca="1" si="390"/>
        <v>120.96345592838743</v>
      </c>
      <c r="J846" s="306">
        <f t="shared" ca="1" si="391"/>
        <v>755.70453742140728</v>
      </c>
      <c r="K846" s="307">
        <f t="shared" ca="1" si="392"/>
        <v>-6.3034472378342645</v>
      </c>
      <c r="L846" s="304">
        <f t="shared" ca="1" si="377"/>
        <v>755.73082597336418</v>
      </c>
      <c r="M846" s="306">
        <f t="shared" ca="1" si="393"/>
        <v>-1.4724999484482553</v>
      </c>
      <c r="N846" s="304">
        <f t="shared" ca="1" si="394"/>
        <v>-84.368032379316318</v>
      </c>
      <c r="P846" s="310">
        <f t="shared" ca="1" si="395"/>
        <v>23</v>
      </c>
      <c r="Q846" s="304">
        <f t="shared" ca="1" si="396"/>
        <v>0</v>
      </c>
      <c r="R846" s="306">
        <f t="shared" ca="1" si="397"/>
        <v>0</v>
      </c>
      <c r="S846" s="307">
        <f t="shared" ca="1" si="398"/>
        <v>7.9769999999999968</v>
      </c>
      <c r="T846" s="304">
        <f t="shared" ca="1" si="378"/>
        <v>78.254369999999966</v>
      </c>
      <c r="U846" s="311">
        <f t="shared" ca="1" si="379"/>
        <v>0</v>
      </c>
      <c r="V846" s="306">
        <f t="shared" ca="1" si="380"/>
        <v>1.225772415730725</v>
      </c>
      <c r="W846" s="304">
        <f t="shared" ca="1" si="381"/>
        <v>59.245019786963553</v>
      </c>
      <c r="Y846" s="314" t="str">
        <f t="shared" ca="1" si="399"/>
        <v/>
      </c>
      <c r="Z846" s="315" t="str">
        <f t="shared" ca="1" si="400"/>
        <v/>
      </c>
      <c r="AA846" s="316" t="str">
        <f t="shared" ca="1" si="401"/>
        <v/>
      </c>
      <c r="AC846" s="310" t="e">
        <f t="shared" ca="1" si="402"/>
        <v>#N/A</v>
      </c>
      <c r="AD846" s="323" t="e">
        <f t="shared" ca="1" si="403"/>
        <v>#N/A</v>
      </c>
      <c r="AE846" s="324" t="e">
        <f t="shared" ca="1" si="382"/>
        <v>#N/A</v>
      </c>
      <c r="AG846" s="306">
        <f t="shared" ca="1" si="404"/>
        <v>2.3357019795993832</v>
      </c>
      <c r="AH846" s="304">
        <f t="shared" ca="1" si="405"/>
        <v>-7.4269424187547539</v>
      </c>
    </row>
    <row r="847" spans="1:34" x14ac:dyDescent="0.2">
      <c r="A847" s="347">
        <f t="shared" ca="1" si="383"/>
        <v>1E-4</v>
      </c>
      <c r="B847" s="304">
        <f t="shared" ca="1" si="384"/>
        <v>33.632700000001293</v>
      </c>
      <c r="D847" s="306">
        <f t="shared" ca="1" si="385"/>
        <v>-0.72887017006992494</v>
      </c>
      <c r="E847" s="307">
        <f t="shared" ca="1" si="386"/>
        <v>-2.4188714796439488</v>
      </c>
      <c r="F847" s="304">
        <f t="shared" ca="1" si="387"/>
        <v>2.5262998554907665</v>
      </c>
      <c r="G847" s="306">
        <f t="shared" ca="1" si="388"/>
        <v>11.871058341045048</v>
      </c>
      <c r="H847" s="307">
        <f t="shared" ca="1" si="389"/>
        <v>-120.37978297908376</v>
      </c>
      <c r="I847" s="304">
        <f t="shared" ca="1" si="390"/>
        <v>120.96368949493811</v>
      </c>
      <c r="J847" s="306">
        <f t="shared" ca="1" si="391"/>
        <v>755.70453742140728</v>
      </c>
      <c r="K847" s="307">
        <f t="shared" ca="1" si="392"/>
        <v>-6.3154852040378158</v>
      </c>
      <c r="L847" s="304">
        <f t="shared" ca="1" si="377"/>
        <v>755.73092647625947</v>
      </c>
      <c r="M847" s="306">
        <f t="shared" ca="1" si="393"/>
        <v>-1.4725007443361557</v>
      </c>
      <c r="N847" s="304">
        <f t="shared" ca="1" si="394"/>
        <v>-84.368077980333979</v>
      </c>
      <c r="P847" s="310">
        <f t="shared" ca="1" si="395"/>
        <v>23</v>
      </c>
      <c r="Q847" s="304">
        <f t="shared" ca="1" si="396"/>
        <v>0</v>
      </c>
      <c r="R847" s="306">
        <f t="shared" ca="1" si="397"/>
        <v>0</v>
      </c>
      <c r="S847" s="307">
        <f t="shared" ca="1" si="398"/>
        <v>7.9769999999999968</v>
      </c>
      <c r="T847" s="304">
        <f t="shared" ca="1" si="378"/>
        <v>78.254369999999966</v>
      </c>
      <c r="U847" s="311">
        <f t="shared" ca="1" si="379"/>
        <v>0</v>
      </c>
      <c r="V847" s="306">
        <f t="shared" ca="1" si="380"/>
        <v>1.2257738913124514</v>
      </c>
      <c r="W847" s="304">
        <f t="shared" ca="1" si="381"/>
        <v>59.245319897132035</v>
      </c>
      <c r="Y847" s="314" t="str">
        <f t="shared" ca="1" si="399"/>
        <v/>
      </c>
      <c r="Z847" s="315" t="str">
        <f t="shared" ca="1" si="400"/>
        <v/>
      </c>
      <c r="AA847" s="316" t="str">
        <f t="shared" ca="1" si="401"/>
        <v/>
      </c>
      <c r="AC847" s="310" t="e">
        <f t="shared" ca="1" si="402"/>
        <v>#N/A</v>
      </c>
      <c r="AD847" s="323" t="e">
        <f t="shared" ca="1" si="403"/>
        <v>#N/A</v>
      </c>
      <c r="AE847" s="324" t="e">
        <f t="shared" ca="1" si="382"/>
        <v>#N/A</v>
      </c>
      <c r="AG847" s="306">
        <f t="shared" ca="1" si="404"/>
        <v>2.3356651236060344</v>
      </c>
      <c r="AH847" s="304">
        <f t="shared" ca="1" si="405"/>
        <v>-7.4269800409882887</v>
      </c>
    </row>
    <row r="848" spans="1:34" x14ac:dyDescent="0.2">
      <c r="A848" s="347">
        <f t="shared" ca="1" si="383"/>
        <v>1E-4</v>
      </c>
      <c r="B848" s="304">
        <f t="shared" ca="1" si="384"/>
        <v>33.632800000001296</v>
      </c>
      <c r="D848" s="306">
        <f t="shared" ca="1" si="385"/>
        <v>-0.72886797967759931</v>
      </c>
      <c r="E848" s="307">
        <f t="shared" ca="1" si="386"/>
        <v>-2.4188334592188943</v>
      </c>
      <c r="F848" s="304">
        <f t="shared" ca="1" si="387"/>
        <v>2.5262628199053534</v>
      </c>
      <c r="G848" s="306">
        <f t="shared" ca="1" si="388"/>
        <v>11.87098545424708</v>
      </c>
      <c r="H848" s="307">
        <f t="shared" ca="1" si="389"/>
        <v>-120.38002486242968</v>
      </c>
      <c r="I848" s="304">
        <f t="shared" ca="1" si="390"/>
        <v>120.9639230578032</v>
      </c>
      <c r="J848" s="306">
        <f t="shared" ca="1" si="391"/>
        <v>755.70453742140728</v>
      </c>
      <c r="K848" s="307">
        <f t="shared" ca="1" si="392"/>
        <v>-6.3275231944298911</v>
      </c>
      <c r="L848" s="304">
        <f t="shared" ca="1" si="377"/>
        <v>755.73102717109555</v>
      </c>
      <c r="M848" s="306">
        <f t="shared" ca="1" si="393"/>
        <v>-1.4725015402160961</v>
      </c>
      <c r="N848" s="304">
        <f t="shared" ca="1" si="394"/>
        <v>-84.368123580895571</v>
      </c>
      <c r="P848" s="310">
        <f t="shared" ca="1" si="395"/>
        <v>23</v>
      </c>
      <c r="Q848" s="304">
        <f t="shared" ca="1" si="396"/>
        <v>0</v>
      </c>
      <c r="R848" s="306">
        <f t="shared" ca="1" si="397"/>
        <v>0</v>
      </c>
      <c r="S848" s="307">
        <f t="shared" ca="1" si="398"/>
        <v>7.9769999999999968</v>
      </c>
      <c r="T848" s="304">
        <f t="shared" ca="1" si="378"/>
        <v>78.254369999999966</v>
      </c>
      <c r="U848" s="311">
        <f t="shared" ca="1" si="379"/>
        <v>0</v>
      </c>
      <c r="V848" s="306">
        <f t="shared" ca="1" si="380"/>
        <v>1.2257753668989197</v>
      </c>
      <c r="W848" s="304">
        <f t="shared" ca="1" si="381"/>
        <v>59.245620004912077</v>
      </c>
      <c r="Y848" s="314" t="str">
        <f t="shared" ca="1" si="399"/>
        <v/>
      </c>
      <c r="Z848" s="315" t="str">
        <f t="shared" ca="1" si="400"/>
        <v/>
      </c>
      <c r="AA848" s="316" t="str">
        <f t="shared" ca="1" si="401"/>
        <v/>
      </c>
      <c r="AC848" s="310" t="e">
        <f t="shared" ca="1" si="402"/>
        <v>#N/A</v>
      </c>
      <c r="AD848" s="323" t="e">
        <f t="shared" ca="1" si="403"/>
        <v>#N/A</v>
      </c>
      <c r="AE848" s="324" t="e">
        <f t="shared" ca="1" si="382"/>
        <v>#N/A</v>
      </c>
      <c r="AG848" s="306">
        <f t="shared" ca="1" si="404"/>
        <v>2.3356282678982527</v>
      </c>
      <c r="AH848" s="304">
        <f t="shared" ca="1" si="405"/>
        <v>-7.4270176629224096</v>
      </c>
    </row>
    <row r="849" spans="1:34" x14ac:dyDescent="0.2">
      <c r="A849" s="347">
        <f t="shared" ca="1" si="383"/>
        <v>1E-4</v>
      </c>
      <c r="B849" s="304">
        <f t="shared" ca="1" si="384"/>
        <v>33.6329000000013</v>
      </c>
      <c r="D849" s="306">
        <f t="shared" ca="1" si="385"/>
        <v>-0.72886578925466616</v>
      </c>
      <c r="E849" s="307">
        <f t="shared" ca="1" si="386"/>
        <v>-2.4187954390964181</v>
      </c>
      <c r="F849" s="304">
        <f t="shared" ca="1" si="387"/>
        <v>2.5262257846319796</v>
      </c>
      <c r="G849" s="306">
        <f t="shared" ca="1" si="388"/>
        <v>11.870912567668155</v>
      </c>
      <c r="H849" s="307">
        <f t="shared" ca="1" si="389"/>
        <v>-120.38026674197359</v>
      </c>
      <c r="I849" s="304">
        <f t="shared" ca="1" si="390"/>
        <v>120.96415661698276</v>
      </c>
      <c r="J849" s="306">
        <f t="shared" ca="1" si="391"/>
        <v>755.70453742140728</v>
      </c>
      <c r="K849" s="307">
        <f t="shared" ca="1" si="392"/>
        <v>-6.3395612090101112</v>
      </c>
      <c r="L849" s="304">
        <f t="shared" ca="1" si="377"/>
        <v>755.73112805787343</v>
      </c>
      <c r="M849" s="306">
        <f t="shared" ca="1" si="393"/>
        <v>-1.4725023360880767</v>
      </c>
      <c r="N849" s="304">
        <f t="shared" ca="1" si="394"/>
        <v>-84.368169181001079</v>
      </c>
      <c r="P849" s="310">
        <f t="shared" ca="1" si="395"/>
        <v>23</v>
      </c>
      <c r="Q849" s="304">
        <f t="shared" ca="1" si="396"/>
        <v>0</v>
      </c>
      <c r="R849" s="306">
        <f t="shared" ca="1" si="397"/>
        <v>0</v>
      </c>
      <c r="S849" s="307">
        <f t="shared" ca="1" si="398"/>
        <v>7.9769999999999968</v>
      </c>
      <c r="T849" s="304">
        <f t="shared" ca="1" si="378"/>
        <v>78.254369999999966</v>
      </c>
      <c r="U849" s="311">
        <f t="shared" ca="1" si="379"/>
        <v>0</v>
      </c>
      <c r="V849" s="306">
        <f t="shared" ca="1" si="380"/>
        <v>1.2257768424901296</v>
      </c>
      <c r="W849" s="304">
        <f t="shared" ca="1" si="381"/>
        <v>59.245920110303679</v>
      </c>
      <c r="Y849" s="314" t="str">
        <f t="shared" ca="1" si="399"/>
        <v/>
      </c>
      <c r="Z849" s="315" t="str">
        <f t="shared" ca="1" si="400"/>
        <v/>
      </c>
      <c r="AA849" s="316" t="str">
        <f t="shared" ca="1" si="401"/>
        <v/>
      </c>
      <c r="AC849" s="310" t="e">
        <f t="shared" ca="1" si="402"/>
        <v>#N/A</v>
      </c>
      <c r="AD849" s="323" t="e">
        <f t="shared" ca="1" si="403"/>
        <v>#N/A</v>
      </c>
      <c r="AE849" s="324" t="e">
        <f t="shared" ca="1" si="382"/>
        <v>#N/A</v>
      </c>
      <c r="AG849" s="306">
        <f t="shared" ca="1" si="404"/>
        <v>2.3355914124760391</v>
      </c>
      <c r="AH849" s="304">
        <f t="shared" ca="1" si="405"/>
        <v>-7.4270552845571141</v>
      </c>
    </row>
    <row r="850" spans="1:34" x14ac:dyDescent="0.2">
      <c r="A850" s="347">
        <f t="shared" ca="1" si="383"/>
        <v>1E-4</v>
      </c>
      <c r="B850" s="304">
        <f t="shared" ca="1" si="384"/>
        <v>33.633000000001303</v>
      </c>
      <c r="D850" s="306">
        <f t="shared" ca="1" si="385"/>
        <v>-0.72886359880112572</v>
      </c>
      <c r="E850" s="307">
        <f t="shared" ca="1" si="386"/>
        <v>-2.4187574192765169</v>
      </c>
      <c r="F850" s="304">
        <f t="shared" ca="1" si="387"/>
        <v>2.5261887496706428</v>
      </c>
      <c r="G850" s="306">
        <f t="shared" ca="1" si="388"/>
        <v>11.870839681308274</v>
      </c>
      <c r="H850" s="307">
        <f t="shared" ca="1" si="389"/>
        <v>-120.38050861771551</v>
      </c>
      <c r="I850" s="304">
        <f t="shared" ca="1" si="390"/>
        <v>120.9643901724768</v>
      </c>
      <c r="J850" s="306">
        <f t="shared" ca="1" si="391"/>
        <v>755.70453742140728</v>
      </c>
      <c r="K850" s="307">
        <f t="shared" ca="1" si="392"/>
        <v>-6.351599247778096</v>
      </c>
      <c r="L850" s="304">
        <f t="shared" ca="1" si="377"/>
        <v>755.73122913659427</v>
      </c>
      <c r="M850" s="306">
        <f t="shared" ca="1" si="393"/>
        <v>-1.4725031319520971</v>
      </c>
      <c r="N850" s="304">
        <f t="shared" ca="1" si="394"/>
        <v>-84.368214780650518</v>
      </c>
      <c r="P850" s="310">
        <f t="shared" ca="1" si="395"/>
        <v>23</v>
      </c>
      <c r="Q850" s="304">
        <f t="shared" ca="1" si="396"/>
        <v>0</v>
      </c>
      <c r="R850" s="306">
        <f t="shared" ca="1" si="397"/>
        <v>0</v>
      </c>
      <c r="S850" s="307">
        <f t="shared" ca="1" si="398"/>
        <v>7.9769999999999968</v>
      </c>
      <c r="T850" s="304">
        <f t="shared" ca="1" si="378"/>
        <v>78.254369999999966</v>
      </c>
      <c r="U850" s="311">
        <f t="shared" ca="1" si="379"/>
        <v>0</v>
      </c>
      <c r="V850" s="306">
        <f t="shared" ca="1" si="380"/>
        <v>1.2257783180860813</v>
      </c>
      <c r="W850" s="304">
        <f t="shared" ca="1" si="381"/>
        <v>59.246220213306799</v>
      </c>
      <c r="Y850" s="314" t="str">
        <f t="shared" ca="1" si="399"/>
        <v/>
      </c>
      <c r="Z850" s="315" t="str">
        <f t="shared" ca="1" si="400"/>
        <v/>
      </c>
      <c r="AA850" s="316" t="str">
        <f t="shared" ca="1" si="401"/>
        <v/>
      </c>
      <c r="AC850" s="310" t="e">
        <f t="shared" ca="1" si="402"/>
        <v>#N/A</v>
      </c>
      <c r="AD850" s="323" t="e">
        <f t="shared" ca="1" si="403"/>
        <v>#N/A</v>
      </c>
      <c r="AE850" s="324" t="e">
        <f t="shared" ca="1" si="382"/>
        <v>#N/A</v>
      </c>
      <c r="AG850" s="306">
        <f t="shared" ca="1" si="404"/>
        <v>2.3355545573393952</v>
      </c>
      <c r="AH850" s="304">
        <f t="shared" ca="1" si="405"/>
        <v>-7.4270929058924038</v>
      </c>
    </row>
    <row r="851" spans="1:34" x14ac:dyDescent="0.2">
      <c r="A851" s="347">
        <f t="shared" ca="1" si="383"/>
        <v>1E-4</v>
      </c>
      <c r="B851" s="304">
        <f t="shared" ca="1" si="384"/>
        <v>33.633100000001306</v>
      </c>
      <c r="D851" s="306">
        <f t="shared" ca="1" si="385"/>
        <v>-0.72886140831698054</v>
      </c>
      <c r="E851" s="307">
        <f t="shared" ca="1" si="386"/>
        <v>-2.4187193997591994</v>
      </c>
      <c r="F851" s="304">
        <f t="shared" ca="1" si="387"/>
        <v>2.5261517150213511</v>
      </c>
      <c r="G851" s="306">
        <f t="shared" ca="1" si="388"/>
        <v>11.870766795167443</v>
      </c>
      <c r="H851" s="307">
        <f t="shared" ca="1" si="389"/>
        <v>-120.38075048965548</v>
      </c>
      <c r="I851" s="304">
        <f t="shared" ca="1" si="390"/>
        <v>120.96462372428535</v>
      </c>
      <c r="J851" s="306">
        <f t="shared" ca="1" si="391"/>
        <v>755.70453742140728</v>
      </c>
      <c r="K851" s="307">
        <f t="shared" ca="1" si="392"/>
        <v>-6.3636373107334645</v>
      </c>
      <c r="L851" s="304">
        <f t="shared" ca="1" si="377"/>
        <v>755.73133040725895</v>
      </c>
      <c r="M851" s="306">
        <f t="shared" ca="1" si="393"/>
        <v>-1.472503927808158</v>
      </c>
      <c r="N851" s="304">
        <f t="shared" ca="1" si="394"/>
        <v>-84.368260379843903</v>
      </c>
      <c r="P851" s="310">
        <f t="shared" ca="1" si="395"/>
        <v>23</v>
      </c>
      <c r="Q851" s="304">
        <f t="shared" ca="1" si="396"/>
        <v>0</v>
      </c>
      <c r="R851" s="306">
        <f t="shared" ca="1" si="397"/>
        <v>0</v>
      </c>
      <c r="S851" s="307">
        <f t="shared" ca="1" si="398"/>
        <v>7.9769999999999968</v>
      </c>
      <c r="T851" s="304">
        <f t="shared" ca="1" si="378"/>
        <v>78.254369999999966</v>
      </c>
      <c r="U851" s="311">
        <f t="shared" ca="1" si="379"/>
        <v>0</v>
      </c>
      <c r="V851" s="306">
        <f t="shared" ca="1" si="380"/>
        <v>1.2257797936867749</v>
      </c>
      <c r="W851" s="304">
        <f t="shared" ca="1" si="381"/>
        <v>59.246520313921494</v>
      </c>
      <c r="Y851" s="314" t="str">
        <f t="shared" ca="1" si="399"/>
        <v/>
      </c>
      <c r="Z851" s="315" t="str">
        <f t="shared" ca="1" si="400"/>
        <v/>
      </c>
      <c r="AA851" s="316" t="str">
        <f t="shared" ca="1" si="401"/>
        <v/>
      </c>
      <c r="AC851" s="310" t="e">
        <f t="shared" ca="1" si="402"/>
        <v>#N/A</v>
      </c>
      <c r="AD851" s="323" t="e">
        <f t="shared" ca="1" si="403"/>
        <v>#N/A</v>
      </c>
      <c r="AE851" s="324" t="e">
        <f t="shared" ca="1" si="382"/>
        <v>#N/A</v>
      </c>
      <c r="AG851" s="306">
        <f t="shared" ca="1" si="404"/>
        <v>2.3355177024883265</v>
      </c>
      <c r="AH851" s="304">
        <f t="shared" ca="1" si="405"/>
        <v>-7.4271305269282717</v>
      </c>
    </row>
    <row r="852" spans="1:34" x14ac:dyDescent="0.2">
      <c r="A852" s="347">
        <f t="shared" ca="1" si="383"/>
        <v>1E-4</v>
      </c>
      <c r="B852" s="304">
        <f t="shared" ca="1" si="384"/>
        <v>33.63320000000131</v>
      </c>
      <c r="D852" s="306">
        <f t="shared" ca="1" si="385"/>
        <v>-0.72885921780222973</v>
      </c>
      <c r="E852" s="307">
        <f t="shared" ca="1" si="386"/>
        <v>-2.4186813805444576</v>
      </c>
      <c r="F852" s="304">
        <f t="shared" ca="1" si="387"/>
        <v>2.5261146806840977</v>
      </c>
      <c r="G852" s="306">
        <f t="shared" ca="1" si="388"/>
        <v>11.870693909245663</v>
      </c>
      <c r="H852" s="307">
        <f t="shared" ca="1" si="389"/>
        <v>-120.38099235779353</v>
      </c>
      <c r="I852" s="304">
        <f t="shared" ca="1" si="390"/>
        <v>120.96485727240845</v>
      </c>
      <c r="J852" s="306">
        <f t="shared" ca="1" si="391"/>
        <v>755.70453742140728</v>
      </c>
      <c r="K852" s="307">
        <f t="shared" ca="1" si="392"/>
        <v>-6.3756753978758374</v>
      </c>
      <c r="L852" s="304">
        <f t="shared" ca="1" si="377"/>
        <v>755.73143186986886</v>
      </c>
      <c r="M852" s="306">
        <f t="shared" ca="1" si="393"/>
        <v>-1.4725047236562592</v>
      </c>
      <c r="N852" s="304">
        <f t="shared" ca="1" si="394"/>
        <v>-84.368305978581247</v>
      </c>
      <c r="P852" s="310">
        <f t="shared" ca="1" si="395"/>
        <v>23</v>
      </c>
      <c r="Q852" s="304">
        <f t="shared" ca="1" si="396"/>
        <v>0</v>
      </c>
      <c r="R852" s="306">
        <f t="shared" ca="1" si="397"/>
        <v>0</v>
      </c>
      <c r="S852" s="307">
        <f t="shared" ca="1" si="398"/>
        <v>7.9769999999999968</v>
      </c>
      <c r="T852" s="304">
        <f t="shared" ca="1" si="378"/>
        <v>78.254369999999966</v>
      </c>
      <c r="U852" s="311">
        <f t="shared" ca="1" si="379"/>
        <v>0</v>
      </c>
      <c r="V852" s="306">
        <f t="shared" ca="1" si="380"/>
        <v>1.2257812692922099</v>
      </c>
      <c r="W852" s="304">
        <f t="shared" ca="1" si="381"/>
        <v>59.246820412147741</v>
      </c>
      <c r="Y852" s="314" t="str">
        <f t="shared" ca="1" si="399"/>
        <v/>
      </c>
      <c r="Z852" s="315" t="str">
        <f t="shared" ca="1" si="400"/>
        <v/>
      </c>
      <c r="AA852" s="316" t="str">
        <f t="shared" ca="1" si="401"/>
        <v/>
      </c>
      <c r="AC852" s="310" t="e">
        <f t="shared" ca="1" si="402"/>
        <v>#N/A</v>
      </c>
      <c r="AD852" s="323" t="e">
        <f t="shared" ca="1" si="403"/>
        <v>#N/A</v>
      </c>
      <c r="AE852" s="324" t="e">
        <f t="shared" ca="1" si="382"/>
        <v>#N/A</v>
      </c>
      <c r="AG852" s="306">
        <f t="shared" ca="1" si="404"/>
        <v>2.3354808479228231</v>
      </c>
      <c r="AH852" s="304">
        <f t="shared" ca="1" si="405"/>
        <v>-7.4271681476647258</v>
      </c>
    </row>
    <row r="853" spans="1:34" x14ac:dyDescent="0.2">
      <c r="A853" s="347">
        <f t="shared" ca="1" si="383"/>
        <v>1E-4</v>
      </c>
      <c r="B853" s="304">
        <f t="shared" ca="1" si="384"/>
        <v>33.633300000001313</v>
      </c>
      <c r="D853" s="306">
        <f t="shared" ca="1" si="385"/>
        <v>-0.72885702725687473</v>
      </c>
      <c r="E853" s="307">
        <f t="shared" ca="1" si="386"/>
        <v>-2.4186433616322933</v>
      </c>
      <c r="F853" s="304">
        <f t="shared" ca="1" si="387"/>
        <v>2.5260776466588846</v>
      </c>
      <c r="G853" s="306">
        <f t="shared" ca="1" si="388"/>
        <v>11.870621023542936</v>
      </c>
      <c r="H853" s="307">
        <f t="shared" ca="1" si="389"/>
        <v>-120.38123422212969</v>
      </c>
      <c r="I853" s="304">
        <f t="shared" ca="1" si="390"/>
        <v>120.96509081684611</v>
      </c>
      <c r="J853" s="306">
        <f t="shared" ca="1" si="391"/>
        <v>755.70453742140728</v>
      </c>
      <c r="K853" s="307">
        <f t="shared" ca="1" si="392"/>
        <v>-6.3877135092048336</v>
      </c>
      <c r="L853" s="304">
        <f t="shared" ca="1" si="377"/>
        <v>755.73153352442478</v>
      </c>
      <c r="M853" s="306">
        <f t="shared" ca="1" si="393"/>
        <v>-1.4725055194964007</v>
      </c>
      <c r="N853" s="304">
        <f t="shared" ca="1" si="394"/>
        <v>-84.368351576862523</v>
      </c>
      <c r="P853" s="310">
        <f t="shared" ca="1" si="395"/>
        <v>23</v>
      </c>
      <c r="Q853" s="304">
        <f t="shared" ca="1" si="396"/>
        <v>0</v>
      </c>
      <c r="R853" s="306">
        <f t="shared" ca="1" si="397"/>
        <v>0</v>
      </c>
      <c r="S853" s="307">
        <f t="shared" ca="1" si="398"/>
        <v>7.9769999999999968</v>
      </c>
      <c r="T853" s="304">
        <f t="shared" ca="1" si="378"/>
        <v>78.254369999999966</v>
      </c>
      <c r="U853" s="311">
        <f t="shared" ca="1" si="379"/>
        <v>0</v>
      </c>
      <c r="V853" s="306">
        <f t="shared" ca="1" si="380"/>
        <v>1.225782744902387</v>
      </c>
      <c r="W853" s="304">
        <f t="shared" ca="1" si="381"/>
        <v>59.247120507985542</v>
      </c>
      <c r="Y853" s="314" t="str">
        <f t="shared" ca="1" si="399"/>
        <v/>
      </c>
      <c r="Z853" s="315" t="str">
        <f t="shared" ca="1" si="400"/>
        <v/>
      </c>
      <c r="AA853" s="316" t="str">
        <f t="shared" ca="1" si="401"/>
        <v/>
      </c>
      <c r="AC853" s="310" t="e">
        <f t="shared" ca="1" si="402"/>
        <v>#N/A</v>
      </c>
      <c r="AD853" s="323" t="e">
        <f t="shared" ca="1" si="403"/>
        <v>#N/A</v>
      </c>
      <c r="AE853" s="324" t="e">
        <f t="shared" ca="1" si="382"/>
        <v>#N/A</v>
      </c>
      <c r="AG853" s="306">
        <f t="shared" ca="1" si="404"/>
        <v>2.3354439936428912</v>
      </c>
      <c r="AH853" s="304">
        <f t="shared" ca="1" si="405"/>
        <v>-7.4272057681017634</v>
      </c>
    </row>
    <row r="854" spans="1:34" x14ac:dyDescent="0.2">
      <c r="A854" s="347">
        <f t="shared" ca="1" si="383"/>
        <v>1E-4</v>
      </c>
      <c r="B854" s="304">
        <f t="shared" ca="1" si="384"/>
        <v>33.633400000001316</v>
      </c>
      <c r="D854" s="306">
        <f t="shared" ca="1" si="385"/>
        <v>-0.728854836680917</v>
      </c>
      <c r="E854" s="307">
        <f t="shared" ca="1" si="386"/>
        <v>-2.4186053430227066</v>
      </c>
      <c r="F854" s="304">
        <f t="shared" ca="1" si="387"/>
        <v>2.5260406129457125</v>
      </c>
      <c r="G854" s="306">
        <f t="shared" ca="1" si="388"/>
        <v>11.870548138059268</v>
      </c>
      <c r="H854" s="307">
        <f t="shared" ca="1" si="389"/>
        <v>-120.38147608266399</v>
      </c>
      <c r="I854" s="304">
        <f t="shared" ca="1" si="390"/>
        <v>120.96532435759839</v>
      </c>
      <c r="J854" s="306">
        <f t="shared" ca="1" si="391"/>
        <v>755.70453742140728</v>
      </c>
      <c r="K854" s="307">
        <f t="shared" ca="1" si="392"/>
        <v>-6.3997516447200731</v>
      </c>
      <c r="L854" s="304">
        <f t="shared" ca="1" si="377"/>
        <v>755.73163537092796</v>
      </c>
      <c r="M854" s="306">
        <f t="shared" ca="1" si="393"/>
        <v>-1.4725063153285829</v>
      </c>
      <c r="N854" s="304">
        <f t="shared" ca="1" si="394"/>
        <v>-84.368397174687757</v>
      </c>
      <c r="P854" s="310">
        <f t="shared" ca="1" si="395"/>
        <v>23</v>
      </c>
      <c r="Q854" s="304">
        <f t="shared" ca="1" si="396"/>
        <v>0</v>
      </c>
      <c r="R854" s="306">
        <f t="shared" ca="1" si="397"/>
        <v>0</v>
      </c>
      <c r="S854" s="307">
        <f t="shared" ca="1" si="398"/>
        <v>7.9769999999999968</v>
      </c>
      <c r="T854" s="304">
        <f t="shared" ca="1" si="378"/>
        <v>78.254369999999966</v>
      </c>
      <c r="U854" s="311">
        <f t="shared" ca="1" si="379"/>
        <v>0</v>
      </c>
      <c r="V854" s="306">
        <f t="shared" ca="1" si="380"/>
        <v>1.2257842205173055</v>
      </c>
      <c r="W854" s="304">
        <f t="shared" ca="1" si="381"/>
        <v>59.247420601434882</v>
      </c>
      <c r="Y854" s="314" t="str">
        <f t="shared" ca="1" si="399"/>
        <v/>
      </c>
      <c r="Z854" s="315" t="str">
        <f t="shared" ca="1" si="400"/>
        <v/>
      </c>
      <c r="AA854" s="316" t="str">
        <f t="shared" ca="1" si="401"/>
        <v/>
      </c>
      <c r="AC854" s="310" t="e">
        <f t="shared" ca="1" si="402"/>
        <v>#N/A</v>
      </c>
      <c r="AD854" s="323" t="e">
        <f t="shared" ca="1" si="403"/>
        <v>#N/A</v>
      </c>
      <c r="AE854" s="324" t="e">
        <f t="shared" ca="1" si="382"/>
        <v>#N/A</v>
      </c>
      <c r="AG854" s="306">
        <f t="shared" ca="1" si="404"/>
        <v>2.3354071396485292</v>
      </c>
      <c r="AH854" s="304">
        <f t="shared" ca="1" si="405"/>
        <v>-7.4272433882393845</v>
      </c>
    </row>
    <row r="855" spans="1:34" x14ac:dyDescent="0.2">
      <c r="A855" s="347">
        <f t="shared" ca="1" si="383"/>
        <v>1E-4</v>
      </c>
      <c r="B855" s="304">
        <f t="shared" ca="1" si="384"/>
        <v>33.63350000000132</v>
      </c>
      <c r="D855" s="306">
        <f t="shared" ca="1" si="385"/>
        <v>-0.72885264607435629</v>
      </c>
      <c r="E855" s="307">
        <f t="shared" ca="1" si="386"/>
        <v>-2.4185673247157009</v>
      </c>
      <c r="F855" s="304">
        <f t="shared" ca="1" si="387"/>
        <v>2.5260035795445845</v>
      </c>
      <c r="G855" s="306">
        <f t="shared" ca="1" si="388"/>
        <v>11.870475252794661</v>
      </c>
      <c r="H855" s="307">
        <f t="shared" ca="1" si="389"/>
        <v>-120.38171793939647</v>
      </c>
      <c r="I855" s="304">
        <f t="shared" ca="1" si="390"/>
        <v>120.9655578946653</v>
      </c>
      <c r="J855" s="306">
        <f t="shared" ca="1" si="391"/>
        <v>755.70453742140728</v>
      </c>
      <c r="K855" s="307">
        <f t="shared" ca="1" si="392"/>
        <v>-6.4117898044211765</v>
      </c>
      <c r="L855" s="304">
        <f t="shared" ca="1" si="377"/>
        <v>755.73173740937943</v>
      </c>
      <c r="M855" s="306">
        <f t="shared" ca="1" si="393"/>
        <v>-1.4725071111528059</v>
      </c>
      <c r="N855" s="304">
        <f t="shared" ca="1" si="394"/>
        <v>-84.368442772056966</v>
      </c>
      <c r="P855" s="310">
        <f t="shared" ca="1" si="395"/>
        <v>23</v>
      </c>
      <c r="Q855" s="304">
        <f t="shared" ca="1" si="396"/>
        <v>0</v>
      </c>
      <c r="R855" s="306">
        <f t="shared" ca="1" si="397"/>
        <v>0</v>
      </c>
      <c r="S855" s="307">
        <f t="shared" ca="1" si="398"/>
        <v>7.9769999999999968</v>
      </c>
      <c r="T855" s="304">
        <f t="shared" ca="1" si="378"/>
        <v>78.254369999999966</v>
      </c>
      <c r="U855" s="311">
        <f t="shared" ca="1" si="379"/>
        <v>0</v>
      </c>
      <c r="V855" s="306">
        <f t="shared" ca="1" si="380"/>
        <v>1.2257856961369655</v>
      </c>
      <c r="W855" s="304">
        <f t="shared" ca="1" si="381"/>
        <v>59.24772069249574</v>
      </c>
      <c r="Y855" s="314" t="str">
        <f t="shared" ca="1" si="399"/>
        <v/>
      </c>
      <c r="Z855" s="315" t="str">
        <f t="shared" ca="1" si="400"/>
        <v/>
      </c>
      <c r="AA855" s="316" t="str">
        <f t="shared" ca="1" si="401"/>
        <v/>
      </c>
      <c r="AC855" s="310" t="e">
        <f t="shared" ca="1" si="402"/>
        <v>#N/A</v>
      </c>
      <c r="AD855" s="323" t="e">
        <f t="shared" ca="1" si="403"/>
        <v>#N/A</v>
      </c>
      <c r="AE855" s="324" t="e">
        <f t="shared" ca="1" si="382"/>
        <v>#N/A</v>
      </c>
      <c r="AG855" s="306">
        <f t="shared" ca="1" si="404"/>
        <v>2.3353702859397414</v>
      </c>
      <c r="AH855" s="304">
        <f t="shared" ca="1" si="405"/>
        <v>-7.4272810080775864</v>
      </c>
    </row>
    <row r="856" spans="1:34" x14ac:dyDescent="0.2">
      <c r="A856" s="347">
        <f t="shared" ca="1" si="383"/>
        <v>1E-4</v>
      </c>
      <c r="B856" s="304">
        <f t="shared" ca="1" si="384"/>
        <v>33.633600000001323</v>
      </c>
      <c r="D856" s="306">
        <f t="shared" ca="1" si="385"/>
        <v>-0.72885045543719251</v>
      </c>
      <c r="E856" s="307">
        <f t="shared" ca="1" si="386"/>
        <v>-2.4185293067112772</v>
      </c>
      <c r="F856" s="304">
        <f t="shared" ca="1" si="387"/>
        <v>2.5259665464555017</v>
      </c>
      <c r="G856" s="306">
        <f t="shared" ca="1" si="388"/>
        <v>11.870402367749117</v>
      </c>
      <c r="H856" s="307">
        <f t="shared" ca="1" si="389"/>
        <v>-120.38195979232714</v>
      </c>
      <c r="I856" s="304">
        <f t="shared" ca="1" si="390"/>
        <v>120.96579142804686</v>
      </c>
      <c r="J856" s="306">
        <f t="shared" ca="1" si="391"/>
        <v>755.70453742140728</v>
      </c>
      <c r="K856" s="307">
        <f t="shared" ca="1" si="392"/>
        <v>-6.4238279883077629</v>
      </c>
      <c r="L856" s="304">
        <f t="shared" ca="1" si="377"/>
        <v>755.73183963978022</v>
      </c>
      <c r="M856" s="306">
        <f t="shared" ca="1" si="393"/>
        <v>-1.4725079069690696</v>
      </c>
      <c r="N856" s="304">
        <f t="shared" ca="1" si="394"/>
        <v>-84.368488368970148</v>
      </c>
      <c r="P856" s="310">
        <f t="shared" ca="1" si="395"/>
        <v>23</v>
      </c>
      <c r="Q856" s="304">
        <f t="shared" ca="1" si="396"/>
        <v>0</v>
      </c>
      <c r="R856" s="306">
        <f t="shared" ca="1" si="397"/>
        <v>0</v>
      </c>
      <c r="S856" s="307">
        <f t="shared" ca="1" si="398"/>
        <v>7.9769999999999968</v>
      </c>
      <c r="T856" s="304">
        <f t="shared" ca="1" si="378"/>
        <v>78.254369999999966</v>
      </c>
      <c r="U856" s="311">
        <f t="shared" ca="1" si="379"/>
        <v>0</v>
      </c>
      <c r="V856" s="306">
        <f t="shared" ca="1" si="380"/>
        <v>1.2257871717613673</v>
      </c>
      <c r="W856" s="304">
        <f t="shared" ca="1" si="381"/>
        <v>59.248020781168165</v>
      </c>
      <c r="Y856" s="314" t="str">
        <f t="shared" ca="1" si="399"/>
        <v/>
      </c>
      <c r="Z856" s="315" t="str">
        <f t="shared" ca="1" si="400"/>
        <v/>
      </c>
      <c r="AA856" s="316" t="str">
        <f t="shared" ca="1" si="401"/>
        <v/>
      </c>
      <c r="AC856" s="310" t="e">
        <f t="shared" ca="1" si="402"/>
        <v>#N/A</v>
      </c>
      <c r="AD856" s="323" t="e">
        <f t="shared" ca="1" si="403"/>
        <v>#N/A</v>
      </c>
      <c r="AE856" s="324" t="e">
        <f t="shared" ca="1" si="382"/>
        <v>#N/A</v>
      </c>
      <c r="AG856" s="306">
        <f t="shared" ca="1" si="404"/>
        <v>2.3353334325165296</v>
      </c>
      <c r="AH856" s="304">
        <f t="shared" ca="1" si="405"/>
        <v>-7.4273186276163674</v>
      </c>
    </row>
    <row r="857" spans="1:34" x14ac:dyDescent="0.2">
      <c r="A857" s="347">
        <f t="shared" ca="1" si="383"/>
        <v>1E-4</v>
      </c>
      <c r="B857" s="304">
        <f t="shared" ca="1" si="384"/>
        <v>33.633700000001326</v>
      </c>
      <c r="D857" s="306">
        <f t="shared" ca="1" si="385"/>
        <v>-0.72884826476942777</v>
      </c>
      <c r="E857" s="307">
        <f t="shared" ca="1" si="386"/>
        <v>-2.4184912890094301</v>
      </c>
      <c r="F857" s="304">
        <f t="shared" ca="1" si="387"/>
        <v>2.5259295136784599</v>
      </c>
      <c r="G857" s="306">
        <f t="shared" ca="1" si="388"/>
        <v>11.87032948292264</v>
      </c>
      <c r="H857" s="307">
        <f t="shared" ca="1" si="389"/>
        <v>-120.38220164145604</v>
      </c>
      <c r="I857" s="304">
        <f t="shared" ca="1" si="390"/>
        <v>120.96602495774309</v>
      </c>
      <c r="J857" s="306">
        <f t="shared" ca="1" si="391"/>
        <v>755.70453742140728</v>
      </c>
      <c r="K857" s="307">
        <f t="shared" ca="1" si="392"/>
        <v>-6.4358661963794521</v>
      </c>
      <c r="L857" s="304">
        <f t="shared" ca="1" si="377"/>
        <v>755.73194206213145</v>
      </c>
      <c r="M857" s="306">
        <f t="shared" ca="1" si="393"/>
        <v>-1.4725087027773742</v>
      </c>
      <c r="N857" s="304">
        <f t="shared" ca="1" si="394"/>
        <v>-84.368533965427304</v>
      </c>
      <c r="P857" s="310">
        <f t="shared" ca="1" si="395"/>
        <v>23</v>
      </c>
      <c r="Q857" s="304">
        <f t="shared" ca="1" si="396"/>
        <v>0</v>
      </c>
      <c r="R857" s="306">
        <f t="shared" ca="1" si="397"/>
        <v>0</v>
      </c>
      <c r="S857" s="307">
        <f t="shared" ca="1" si="398"/>
        <v>7.9769999999999968</v>
      </c>
      <c r="T857" s="304">
        <f t="shared" ca="1" si="378"/>
        <v>78.254369999999966</v>
      </c>
      <c r="U857" s="311">
        <f t="shared" ca="1" si="379"/>
        <v>0</v>
      </c>
      <c r="V857" s="306">
        <f t="shared" ca="1" si="380"/>
        <v>1.2257886473905104</v>
      </c>
      <c r="W857" s="304">
        <f t="shared" ca="1" si="381"/>
        <v>59.248320867452072</v>
      </c>
      <c r="Y857" s="314" t="str">
        <f t="shared" ca="1" si="399"/>
        <v/>
      </c>
      <c r="Z857" s="315" t="str">
        <f t="shared" ca="1" si="400"/>
        <v/>
      </c>
      <c r="AA857" s="316" t="str">
        <f t="shared" ca="1" si="401"/>
        <v/>
      </c>
      <c r="AC857" s="310" t="e">
        <f t="shared" ca="1" si="402"/>
        <v>#N/A</v>
      </c>
      <c r="AD857" s="323" t="e">
        <f t="shared" ca="1" si="403"/>
        <v>#N/A</v>
      </c>
      <c r="AE857" s="324" t="e">
        <f t="shared" ca="1" si="382"/>
        <v>#N/A</v>
      </c>
      <c r="AG857" s="306">
        <f t="shared" ca="1" si="404"/>
        <v>2.3352965793788858</v>
      </c>
      <c r="AH857" s="304">
        <f t="shared" ca="1" si="405"/>
        <v>-7.4273562468557337</v>
      </c>
    </row>
    <row r="858" spans="1:34" x14ac:dyDescent="0.2">
      <c r="A858" s="347">
        <f t="shared" ca="1" si="383"/>
        <v>1E-4</v>
      </c>
      <c r="B858" s="304">
        <f t="shared" ca="1" si="384"/>
        <v>33.63380000000133</v>
      </c>
      <c r="D858" s="306">
        <f t="shared" ca="1" si="385"/>
        <v>-0.72884607407106272</v>
      </c>
      <c r="E858" s="307">
        <f t="shared" ca="1" si="386"/>
        <v>-2.4184532716101694</v>
      </c>
      <c r="F858" s="304">
        <f t="shared" ca="1" si="387"/>
        <v>2.5258924812134689</v>
      </c>
      <c r="G858" s="306">
        <f t="shared" ca="1" si="388"/>
        <v>11.870256598315233</v>
      </c>
      <c r="H858" s="307">
        <f t="shared" ca="1" si="389"/>
        <v>-120.3824434867832</v>
      </c>
      <c r="I858" s="304">
        <f t="shared" ca="1" si="390"/>
        <v>120.96625848375405</v>
      </c>
      <c r="J858" s="306">
        <f t="shared" ca="1" si="391"/>
        <v>755.70453742140728</v>
      </c>
      <c r="K858" s="307">
        <f t="shared" ca="1" si="392"/>
        <v>-6.447904428635864</v>
      </c>
      <c r="L858" s="304">
        <f t="shared" ca="1" si="377"/>
        <v>755.73204467643416</v>
      </c>
      <c r="M858" s="306">
        <f t="shared" ca="1" si="393"/>
        <v>-1.4725094985777201</v>
      </c>
      <c r="N858" s="304">
        <f t="shared" ca="1" si="394"/>
        <v>-84.368579561428461</v>
      </c>
      <c r="P858" s="310">
        <f t="shared" ca="1" si="395"/>
        <v>23</v>
      </c>
      <c r="Q858" s="304">
        <f t="shared" ca="1" si="396"/>
        <v>0</v>
      </c>
      <c r="R858" s="306">
        <f t="shared" ca="1" si="397"/>
        <v>0</v>
      </c>
      <c r="S858" s="307">
        <f t="shared" ca="1" si="398"/>
        <v>7.9769999999999968</v>
      </c>
      <c r="T858" s="304">
        <f t="shared" ca="1" si="378"/>
        <v>78.254369999999966</v>
      </c>
      <c r="U858" s="311">
        <f t="shared" ca="1" si="379"/>
        <v>0</v>
      </c>
      <c r="V858" s="306">
        <f t="shared" ca="1" si="380"/>
        <v>1.2257901230243953</v>
      </c>
      <c r="W858" s="304">
        <f t="shared" ca="1" si="381"/>
        <v>59.248620951347533</v>
      </c>
      <c r="Y858" s="314" t="str">
        <f t="shared" ca="1" si="399"/>
        <v/>
      </c>
      <c r="Z858" s="315" t="str">
        <f t="shared" ca="1" si="400"/>
        <v/>
      </c>
      <c r="AA858" s="316" t="str">
        <f t="shared" ca="1" si="401"/>
        <v/>
      </c>
      <c r="AC858" s="310" t="e">
        <f t="shared" ca="1" si="402"/>
        <v>#N/A</v>
      </c>
      <c r="AD858" s="323" t="e">
        <f t="shared" ca="1" si="403"/>
        <v>#N/A</v>
      </c>
      <c r="AE858" s="324" t="e">
        <f t="shared" ca="1" si="382"/>
        <v>#N/A</v>
      </c>
      <c r="AG858" s="306">
        <f t="shared" ca="1" si="404"/>
        <v>2.335259726526826</v>
      </c>
      <c r="AH858" s="304">
        <f t="shared" ca="1" si="405"/>
        <v>-7.4273938657956746</v>
      </c>
    </row>
    <row r="859" spans="1:34" x14ac:dyDescent="0.2">
      <c r="A859" s="347">
        <f t="shared" ca="1" si="383"/>
        <v>1E-4</v>
      </c>
      <c r="B859" s="304">
        <f t="shared" ca="1" si="384"/>
        <v>33.633900000001333</v>
      </c>
      <c r="D859" s="306">
        <f t="shared" ca="1" si="385"/>
        <v>-0.72884388334209649</v>
      </c>
      <c r="E859" s="307">
        <f t="shared" ca="1" si="386"/>
        <v>-2.4184152545134863</v>
      </c>
      <c r="F859" s="304">
        <f t="shared" ca="1" si="387"/>
        <v>2.5258554490605194</v>
      </c>
      <c r="G859" s="306">
        <f t="shared" ca="1" si="388"/>
        <v>11.870183713926899</v>
      </c>
      <c r="H859" s="307">
        <f t="shared" ca="1" si="389"/>
        <v>-120.38268532830865</v>
      </c>
      <c r="I859" s="304">
        <f t="shared" ca="1" si="390"/>
        <v>120.96649200607975</v>
      </c>
      <c r="J859" s="306">
        <f t="shared" ca="1" si="391"/>
        <v>755.70453742140728</v>
      </c>
      <c r="K859" s="307">
        <f t="shared" ca="1" si="392"/>
        <v>-6.4599426850766184</v>
      </c>
      <c r="L859" s="304">
        <f t="shared" ca="1" si="377"/>
        <v>755.73214748268947</v>
      </c>
      <c r="M859" s="306">
        <f t="shared" ca="1" si="393"/>
        <v>-1.4725102943701072</v>
      </c>
      <c r="N859" s="304">
        <f t="shared" ca="1" si="394"/>
        <v>-84.368625156973607</v>
      </c>
      <c r="P859" s="310">
        <f t="shared" ca="1" si="395"/>
        <v>23</v>
      </c>
      <c r="Q859" s="304">
        <f t="shared" ca="1" si="396"/>
        <v>0</v>
      </c>
      <c r="R859" s="306">
        <f t="shared" ca="1" si="397"/>
        <v>0</v>
      </c>
      <c r="S859" s="307">
        <f t="shared" ca="1" si="398"/>
        <v>7.9769999999999968</v>
      </c>
      <c r="T859" s="304">
        <f t="shared" ca="1" si="378"/>
        <v>78.254369999999966</v>
      </c>
      <c r="U859" s="311">
        <f t="shared" ca="1" si="379"/>
        <v>0</v>
      </c>
      <c r="V859" s="306">
        <f t="shared" ca="1" si="380"/>
        <v>1.2257915986630215</v>
      </c>
      <c r="W859" s="304">
        <f t="shared" ca="1" si="381"/>
        <v>59.248921032854533</v>
      </c>
      <c r="Y859" s="314" t="str">
        <f t="shared" ca="1" si="399"/>
        <v/>
      </c>
      <c r="Z859" s="315" t="str">
        <f t="shared" ca="1" si="400"/>
        <v/>
      </c>
      <c r="AA859" s="316" t="str">
        <f t="shared" ca="1" si="401"/>
        <v/>
      </c>
      <c r="AC859" s="310" t="e">
        <f t="shared" ca="1" si="402"/>
        <v>#N/A</v>
      </c>
      <c r="AD859" s="323" t="e">
        <f t="shared" ca="1" si="403"/>
        <v>#N/A</v>
      </c>
      <c r="AE859" s="324" t="e">
        <f t="shared" ca="1" si="382"/>
        <v>#N/A</v>
      </c>
      <c r="AG859" s="306">
        <f t="shared" ca="1" si="404"/>
        <v>2.3352228739603342</v>
      </c>
      <c r="AH859" s="304">
        <f t="shared" ca="1" si="405"/>
        <v>-7.427431484436199</v>
      </c>
    </row>
    <row r="860" spans="1:34" x14ac:dyDescent="0.2">
      <c r="A860" s="347">
        <f t="shared" ca="1" si="383"/>
        <v>1E-4</v>
      </c>
      <c r="B860" s="304">
        <f t="shared" ca="1" si="384"/>
        <v>33.634000000001336</v>
      </c>
      <c r="D860" s="306">
        <f t="shared" ca="1" si="385"/>
        <v>-0.72884169258253051</v>
      </c>
      <c r="E860" s="307">
        <f t="shared" ca="1" si="386"/>
        <v>-2.4183772377193842</v>
      </c>
      <c r="F860" s="304">
        <f t="shared" ca="1" si="387"/>
        <v>2.5258184172196163</v>
      </c>
      <c r="G860" s="306">
        <f t="shared" ca="1" si="388"/>
        <v>11.870110829757641</v>
      </c>
      <c r="H860" s="307">
        <f t="shared" ca="1" si="389"/>
        <v>-120.38292716603243</v>
      </c>
      <c r="I860" s="304">
        <f t="shared" ca="1" si="390"/>
        <v>120.96672552472022</v>
      </c>
      <c r="J860" s="306">
        <f t="shared" ca="1" si="391"/>
        <v>755.70453742140728</v>
      </c>
      <c r="K860" s="307">
        <f t="shared" ca="1" si="392"/>
        <v>-6.4719809657013352</v>
      </c>
      <c r="L860" s="304">
        <f t="shared" ca="1" si="377"/>
        <v>755.73225048089853</v>
      </c>
      <c r="M860" s="306">
        <f t="shared" ca="1" si="393"/>
        <v>-1.4725110901545353</v>
      </c>
      <c r="N860" s="304">
        <f t="shared" ca="1" si="394"/>
        <v>-84.368670752062741</v>
      </c>
      <c r="P860" s="310">
        <f t="shared" ca="1" si="395"/>
        <v>23</v>
      </c>
      <c r="Q860" s="304">
        <f t="shared" ca="1" si="396"/>
        <v>0</v>
      </c>
      <c r="R860" s="306">
        <f t="shared" ca="1" si="397"/>
        <v>0</v>
      </c>
      <c r="S860" s="307">
        <f t="shared" ca="1" si="398"/>
        <v>7.9769999999999968</v>
      </c>
      <c r="T860" s="304">
        <f t="shared" ca="1" si="378"/>
        <v>78.254369999999966</v>
      </c>
      <c r="U860" s="311">
        <f t="shared" ca="1" si="379"/>
        <v>0</v>
      </c>
      <c r="V860" s="306">
        <f t="shared" ca="1" si="380"/>
        <v>1.2257930743063892</v>
      </c>
      <c r="W860" s="304">
        <f t="shared" ca="1" si="381"/>
        <v>59.249221111973036</v>
      </c>
      <c r="Y860" s="314" t="str">
        <f t="shared" ca="1" si="399"/>
        <v/>
      </c>
      <c r="Z860" s="315" t="str">
        <f t="shared" ca="1" si="400"/>
        <v/>
      </c>
      <c r="AA860" s="316" t="str">
        <f t="shared" ca="1" si="401"/>
        <v/>
      </c>
      <c r="AC860" s="310" t="e">
        <f t="shared" ca="1" si="402"/>
        <v>#N/A</v>
      </c>
      <c r="AD860" s="323" t="e">
        <f t="shared" ca="1" si="403"/>
        <v>#N/A</v>
      </c>
      <c r="AE860" s="324" t="e">
        <f t="shared" ca="1" si="382"/>
        <v>#N/A</v>
      </c>
      <c r="AG860" s="306">
        <f t="shared" ca="1" si="404"/>
        <v>2.3351860216794202</v>
      </c>
      <c r="AH860" s="304">
        <f t="shared" ca="1" si="405"/>
        <v>-7.4274691027773043</v>
      </c>
    </row>
    <row r="861" spans="1:34" x14ac:dyDescent="0.2">
      <c r="A861" s="347">
        <f t="shared" ca="1" si="383"/>
        <v>1E-4</v>
      </c>
      <c r="B861" s="304">
        <f t="shared" ca="1" si="384"/>
        <v>33.634100000001339</v>
      </c>
      <c r="D861" s="306">
        <f t="shared" ca="1" si="385"/>
        <v>-0.72883950179236767</v>
      </c>
      <c r="E861" s="307">
        <f t="shared" ca="1" si="386"/>
        <v>-2.4183392212278667</v>
      </c>
      <c r="F861" s="304">
        <f t="shared" ca="1" si="387"/>
        <v>2.5257813856907632</v>
      </c>
      <c r="G861" s="306">
        <f t="shared" ca="1" si="388"/>
        <v>11.870037945807461</v>
      </c>
      <c r="H861" s="307">
        <f t="shared" ca="1" si="389"/>
        <v>-120.38316899995455</v>
      </c>
      <c r="I861" s="304">
        <f t="shared" ca="1" si="390"/>
        <v>120.96695903967549</v>
      </c>
      <c r="J861" s="306">
        <f t="shared" ca="1" si="391"/>
        <v>755.70453742140728</v>
      </c>
      <c r="K861" s="307">
        <f t="shared" ca="1" si="392"/>
        <v>-6.4840192705096342</v>
      </c>
      <c r="L861" s="304">
        <f t="shared" ca="1" si="377"/>
        <v>755.73235367106224</v>
      </c>
      <c r="M861" s="306">
        <f t="shared" ca="1" si="393"/>
        <v>-1.4725118859310051</v>
      </c>
      <c r="N861" s="304">
        <f t="shared" ca="1" si="394"/>
        <v>-84.368716346695905</v>
      </c>
      <c r="P861" s="310">
        <f t="shared" ca="1" si="395"/>
        <v>23</v>
      </c>
      <c r="Q861" s="304">
        <f t="shared" ca="1" si="396"/>
        <v>0</v>
      </c>
      <c r="R861" s="306">
        <f t="shared" ca="1" si="397"/>
        <v>0</v>
      </c>
      <c r="S861" s="307">
        <f t="shared" ca="1" si="398"/>
        <v>7.9769999999999968</v>
      </c>
      <c r="T861" s="304">
        <f t="shared" ca="1" si="378"/>
        <v>78.254369999999966</v>
      </c>
      <c r="U861" s="311">
        <f t="shared" ca="1" si="379"/>
        <v>0</v>
      </c>
      <c r="V861" s="306">
        <f t="shared" ca="1" si="380"/>
        <v>1.2257945499544982</v>
      </c>
      <c r="W861" s="304">
        <f t="shared" ca="1" si="381"/>
        <v>59.249521188703056</v>
      </c>
      <c r="Y861" s="314" t="str">
        <f t="shared" ca="1" si="399"/>
        <v/>
      </c>
      <c r="Z861" s="315" t="str">
        <f t="shared" ca="1" si="400"/>
        <v/>
      </c>
      <c r="AA861" s="316" t="str">
        <f t="shared" ca="1" si="401"/>
        <v/>
      </c>
      <c r="AC861" s="310" t="e">
        <f t="shared" ca="1" si="402"/>
        <v>#N/A</v>
      </c>
      <c r="AD861" s="323" t="e">
        <f t="shared" ca="1" si="403"/>
        <v>#N/A</v>
      </c>
      <c r="AE861" s="324" t="e">
        <f t="shared" ca="1" si="382"/>
        <v>#N/A</v>
      </c>
      <c r="AG861" s="306">
        <f t="shared" ca="1" si="404"/>
        <v>2.335149169684084</v>
      </c>
      <c r="AH861" s="304">
        <f t="shared" ca="1" si="405"/>
        <v>-7.4275067208189869</v>
      </c>
    </row>
    <row r="862" spans="1:34" x14ac:dyDescent="0.2">
      <c r="A862" s="347">
        <f t="shared" ca="1" si="383"/>
        <v>1E-4</v>
      </c>
      <c r="B862" s="304">
        <f t="shared" ca="1" si="384"/>
        <v>33.634200000001343</v>
      </c>
      <c r="D862" s="306">
        <f t="shared" ca="1" si="385"/>
        <v>-0.72883731097160476</v>
      </c>
      <c r="E862" s="307">
        <f t="shared" ca="1" si="386"/>
        <v>-2.4183012050389303</v>
      </c>
      <c r="F862" s="304">
        <f t="shared" ca="1" si="387"/>
        <v>2.5257443544739564</v>
      </c>
      <c r="G862" s="306">
        <f t="shared" ca="1" si="388"/>
        <v>11.869965062076364</v>
      </c>
      <c r="H862" s="307">
        <f t="shared" ca="1" si="389"/>
        <v>-120.38341083007505</v>
      </c>
      <c r="I862" s="304">
        <f t="shared" ca="1" si="390"/>
        <v>120.96719255094558</v>
      </c>
      <c r="J862" s="306">
        <f t="shared" ca="1" si="391"/>
        <v>755.70453742140728</v>
      </c>
      <c r="K862" s="307">
        <f t="shared" ca="1" si="392"/>
        <v>-6.4960575995011354</v>
      </c>
      <c r="L862" s="304">
        <f t="shared" ca="1" si="377"/>
        <v>755.73245705318175</v>
      </c>
      <c r="M862" s="306">
        <f t="shared" ca="1" si="393"/>
        <v>-1.4725126816995162</v>
      </c>
      <c r="N862" s="304">
        <f t="shared" ca="1" si="394"/>
        <v>-84.368761940873057</v>
      </c>
      <c r="P862" s="310">
        <f t="shared" ca="1" si="395"/>
        <v>23</v>
      </c>
      <c r="Q862" s="304">
        <f t="shared" ca="1" si="396"/>
        <v>0</v>
      </c>
      <c r="R862" s="306">
        <f t="shared" ca="1" si="397"/>
        <v>0</v>
      </c>
      <c r="S862" s="307">
        <f t="shared" ca="1" si="398"/>
        <v>7.9769999999999968</v>
      </c>
      <c r="T862" s="304">
        <f t="shared" ca="1" si="378"/>
        <v>78.254369999999966</v>
      </c>
      <c r="U862" s="311">
        <f t="shared" ca="1" si="379"/>
        <v>0</v>
      </c>
      <c r="V862" s="306">
        <f t="shared" ca="1" si="380"/>
        <v>1.225796025607349</v>
      </c>
      <c r="W862" s="304">
        <f t="shared" ca="1" si="381"/>
        <v>59.249821263044609</v>
      </c>
      <c r="Y862" s="314" t="str">
        <f t="shared" ca="1" si="399"/>
        <v/>
      </c>
      <c r="Z862" s="315" t="str">
        <f t="shared" ca="1" si="400"/>
        <v/>
      </c>
      <c r="AA862" s="316" t="str">
        <f t="shared" ca="1" si="401"/>
        <v/>
      </c>
      <c r="AC862" s="310" t="e">
        <f t="shared" ca="1" si="402"/>
        <v>#N/A</v>
      </c>
      <c r="AD862" s="323" t="e">
        <f t="shared" ca="1" si="403"/>
        <v>#N/A</v>
      </c>
      <c r="AE862" s="324" t="e">
        <f t="shared" ca="1" si="382"/>
        <v>#N/A</v>
      </c>
      <c r="AG862" s="306">
        <f t="shared" ca="1" si="404"/>
        <v>2.3351123179743274</v>
      </c>
      <c r="AH862" s="304">
        <f t="shared" ca="1" si="405"/>
        <v>-7.4275443385612485</v>
      </c>
    </row>
    <row r="863" spans="1:34" x14ac:dyDescent="0.2">
      <c r="A863" s="347">
        <f t="shared" ca="1" si="383"/>
        <v>1E-4</v>
      </c>
      <c r="B863" s="304">
        <f t="shared" ca="1" si="384"/>
        <v>33.634300000001346</v>
      </c>
      <c r="D863" s="306">
        <f t="shared" ca="1" si="385"/>
        <v>-0.72883512012024687</v>
      </c>
      <c r="E863" s="307">
        <f t="shared" ca="1" si="386"/>
        <v>-2.418263189152575</v>
      </c>
      <c r="F863" s="304">
        <f t="shared" ca="1" si="387"/>
        <v>2.5257073235691969</v>
      </c>
      <c r="G863" s="306">
        <f t="shared" ca="1" si="388"/>
        <v>11.869892178564353</v>
      </c>
      <c r="H863" s="307">
        <f t="shared" ca="1" si="389"/>
        <v>-120.38365265639396</v>
      </c>
      <c r="I863" s="304">
        <f t="shared" ca="1" si="390"/>
        <v>120.96742605853053</v>
      </c>
      <c r="J863" s="306">
        <f t="shared" ca="1" si="391"/>
        <v>755.70453742140728</v>
      </c>
      <c r="K863" s="307">
        <f t="shared" ca="1" si="392"/>
        <v>-6.5080959526754585</v>
      </c>
      <c r="L863" s="304">
        <f t="shared" ca="1" si="377"/>
        <v>755.73256062725818</v>
      </c>
      <c r="M863" s="306">
        <f t="shared" ca="1" si="393"/>
        <v>-1.4725134774600692</v>
      </c>
      <c r="N863" s="304">
        <f t="shared" ca="1" si="394"/>
        <v>-84.368807534594239</v>
      </c>
      <c r="P863" s="310">
        <f t="shared" ca="1" si="395"/>
        <v>23</v>
      </c>
      <c r="Q863" s="304">
        <f t="shared" ca="1" si="396"/>
        <v>0</v>
      </c>
      <c r="R863" s="306">
        <f t="shared" ca="1" si="397"/>
        <v>0</v>
      </c>
      <c r="S863" s="307">
        <f t="shared" ca="1" si="398"/>
        <v>7.9769999999999968</v>
      </c>
      <c r="T863" s="304">
        <f t="shared" ca="1" si="378"/>
        <v>78.254369999999966</v>
      </c>
      <c r="U863" s="311">
        <f t="shared" ca="1" si="379"/>
        <v>0</v>
      </c>
      <c r="V863" s="306">
        <f t="shared" ca="1" si="380"/>
        <v>1.2257975012649405</v>
      </c>
      <c r="W863" s="304">
        <f t="shared" ca="1" si="381"/>
        <v>59.250121334997637</v>
      </c>
      <c r="Y863" s="314" t="str">
        <f t="shared" ca="1" si="399"/>
        <v/>
      </c>
      <c r="Z863" s="315" t="str">
        <f t="shared" ca="1" si="400"/>
        <v/>
      </c>
      <c r="AA863" s="316" t="str">
        <f t="shared" ca="1" si="401"/>
        <v/>
      </c>
      <c r="AC863" s="310" t="e">
        <f t="shared" ca="1" si="402"/>
        <v>#N/A</v>
      </c>
      <c r="AD863" s="323" t="e">
        <f t="shared" ca="1" si="403"/>
        <v>#N/A</v>
      </c>
      <c r="AE863" s="324" t="e">
        <f t="shared" ca="1" si="382"/>
        <v>#N/A</v>
      </c>
      <c r="AG863" s="306">
        <f t="shared" ca="1" si="404"/>
        <v>2.335075466550145</v>
      </c>
      <c r="AH863" s="304">
        <f t="shared" ca="1" si="405"/>
        <v>-7.427581956004091</v>
      </c>
    </row>
    <row r="864" spans="1:34" x14ac:dyDescent="0.2">
      <c r="A864" s="347">
        <f t="shared" ca="1" si="383"/>
        <v>1E-4</v>
      </c>
      <c r="B864" s="304">
        <f t="shared" ca="1" si="384"/>
        <v>33.634400000001349</v>
      </c>
      <c r="D864" s="306">
        <f t="shared" ca="1" si="385"/>
        <v>-0.72883292923829002</v>
      </c>
      <c r="E864" s="307">
        <f t="shared" ca="1" si="386"/>
        <v>-2.4182251735688087</v>
      </c>
      <c r="F864" s="304">
        <f t="shared" ca="1" si="387"/>
        <v>2.5256702929764923</v>
      </c>
      <c r="G864" s="306">
        <f t="shared" ca="1" si="388"/>
        <v>11.869819295271428</v>
      </c>
      <c r="H864" s="307">
        <f t="shared" ca="1" si="389"/>
        <v>-120.38389447891132</v>
      </c>
      <c r="I864" s="304">
        <f t="shared" ca="1" si="390"/>
        <v>120.96765956243037</v>
      </c>
      <c r="J864" s="306">
        <f t="shared" ca="1" si="391"/>
        <v>755.70453742140728</v>
      </c>
      <c r="K864" s="307">
        <f t="shared" ca="1" si="392"/>
        <v>-6.5201343300322234</v>
      </c>
      <c r="L864" s="304">
        <f t="shared" ca="1" si="377"/>
        <v>755.73266439329245</v>
      </c>
      <c r="M864" s="306">
        <f t="shared" ca="1" si="393"/>
        <v>-1.4725142732126639</v>
      </c>
      <c r="N864" s="304">
        <f t="shared" ca="1" si="394"/>
        <v>-84.368853127859452</v>
      </c>
      <c r="P864" s="310">
        <f t="shared" ca="1" si="395"/>
        <v>23</v>
      </c>
      <c r="Q864" s="304">
        <f t="shared" ca="1" si="396"/>
        <v>0</v>
      </c>
      <c r="R864" s="306">
        <f t="shared" ca="1" si="397"/>
        <v>0</v>
      </c>
      <c r="S864" s="307">
        <f t="shared" ca="1" si="398"/>
        <v>7.9769999999999968</v>
      </c>
      <c r="T864" s="304">
        <f t="shared" ca="1" si="378"/>
        <v>78.254369999999966</v>
      </c>
      <c r="U864" s="311">
        <f t="shared" ca="1" si="379"/>
        <v>0</v>
      </c>
      <c r="V864" s="306">
        <f t="shared" ca="1" si="380"/>
        <v>1.2257989769272737</v>
      </c>
      <c r="W864" s="304">
        <f t="shared" ca="1" si="381"/>
        <v>59.250421404562196</v>
      </c>
      <c r="Y864" s="314" t="str">
        <f t="shared" ca="1" si="399"/>
        <v/>
      </c>
      <c r="Z864" s="315" t="str">
        <f t="shared" ca="1" si="400"/>
        <v/>
      </c>
      <c r="AA864" s="316" t="str">
        <f t="shared" ca="1" si="401"/>
        <v/>
      </c>
      <c r="AC864" s="310" t="e">
        <f t="shared" ca="1" si="402"/>
        <v>#N/A</v>
      </c>
      <c r="AD864" s="323" t="e">
        <f t="shared" ca="1" si="403"/>
        <v>#N/A</v>
      </c>
      <c r="AE864" s="324" t="e">
        <f t="shared" ca="1" si="382"/>
        <v>#N/A</v>
      </c>
      <c r="AG864" s="306">
        <f t="shared" ca="1" si="404"/>
        <v>2.3350386154115448</v>
      </c>
      <c r="AH864" s="304">
        <f t="shared" ca="1" si="405"/>
        <v>-7.4276195731475063</v>
      </c>
    </row>
    <row r="865" spans="1:34" x14ac:dyDescent="0.2">
      <c r="A865" s="347">
        <f t="shared" ca="1" si="383"/>
        <v>1E-4</v>
      </c>
      <c r="B865" s="304">
        <f t="shared" ca="1" si="384"/>
        <v>33.634500000001353</v>
      </c>
      <c r="D865" s="306">
        <f t="shared" ca="1" si="385"/>
        <v>-0.7288307383257383</v>
      </c>
      <c r="E865" s="307">
        <f t="shared" ca="1" si="386"/>
        <v>-2.4181871582876218</v>
      </c>
      <c r="F865" s="304">
        <f t="shared" ca="1" si="387"/>
        <v>2.5256332626958344</v>
      </c>
      <c r="G865" s="306">
        <f t="shared" ca="1" si="388"/>
        <v>11.869746412197596</v>
      </c>
      <c r="H865" s="307">
        <f t="shared" ca="1" si="389"/>
        <v>-120.38413629762715</v>
      </c>
      <c r="I865" s="304">
        <f t="shared" ca="1" si="390"/>
        <v>120.96789306264513</v>
      </c>
      <c r="J865" s="306">
        <f t="shared" ca="1" si="391"/>
        <v>755.70453742140728</v>
      </c>
      <c r="K865" s="307">
        <f t="shared" ca="1" si="392"/>
        <v>-6.5321727315710501</v>
      </c>
      <c r="L865" s="304">
        <f t="shared" ca="1" si="377"/>
        <v>755.73276835128581</v>
      </c>
      <c r="M865" s="306">
        <f t="shared" ca="1" si="393"/>
        <v>-1.4725150689573006</v>
      </c>
      <c r="N865" s="304">
        <f t="shared" ca="1" si="394"/>
        <v>-84.36889872066871</v>
      </c>
      <c r="P865" s="310">
        <f t="shared" ca="1" si="395"/>
        <v>23</v>
      </c>
      <c r="Q865" s="304">
        <f t="shared" ca="1" si="396"/>
        <v>0</v>
      </c>
      <c r="R865" s="306">
        <f t="shared" ca="1" si="397"/>
        <v>0</v>
      </c>
      <c r="S865" s="307">
        <f t="shared" ca="1" si="398"/>
        <v>7.9769999999999968</v>
      </c>
      <c r="T865" s="304">
        <f t="shared" ca="1" si="378"/>
        <v>78.254369999999966</v>
      </c>
      <c r="U865" s="311">
        <f t="shared" ca="1" si="379"/>
        <v>0</v>
      </c>
      <c r="V865" s="306">
        <f t="shared" ca="1" si="380"/>
        <v>1.225800452594348</v>
      </c>
      <c r="W865" s="304">
        <f t="shared" ca="1" si="381"/>
        <v>59.250721471738267</v>
      </c>
      <c r="Y865" s="314" t="str">
        <f t="shared" ca="1" si="399"/>
        <v/>
      </c>
      <c r="Z865" s="315" t="str">
        <f t="shared" ca="1" si="400"/>
        <v/>
      </c>
      <c r="AA865" s="316" t="str">
        <f t="shared" ca="1" si="401"/>
        <v/>
      </c>
      <c r="AC865" s="310" t="e">
        <f t="shared" ca="1" si="402"/>
        <v>#N/A</v>
      </c>
      <c r="AD865" s="323" t="e">
        <f t="shared" ca="1" si="403"/>
        <v>#N/A</v>
      </c>
      <c r="AE865" s="324" t="e">
        <f t="shared" ca="1" si="382"/>
        <v>#N/A</v>
      </c>
      <c r="AG865" s="306">
        <f t="shared" ca="1" si="404"/>
        <v>2.3350017645585233</v>
      </c>
      <c r="AH865" s="304">
        <f t="shared" ca="1" si="405"/>
        <v>-7.4276571899915034</v>
      </c>
    </row>
    <row r="866" spans="1:34" x14ac:dyDescent="0.2">
      <c r="A866" s="347">
        <f t="shared" ca="1" si="383"/>
        <v>1E-4</v>
      </c>
      <c r="B866" s="304">
        <f t="shared" ca="1" si="384"/>
        <v>33.634600000001356</v>
      </c>
      <c r="D866" s="306">
        <f t="shared" ca="1" si="385"/>
        <v>-0.72882854738259117</v>
      </c>
      <c r="E866" s="307">
        <f t="shared" ca="1" si="386"/>
        <v>-2.4181491433090185</v>
      </c>
      <c r="F866" s="304">
        <f t="shared" ca="1" si="387"/>
        <v>2.5255962327272266</v>
      </c>
      <c r="G866" s="306">
        <f t="shared" ca="1" si="388"/>
        <v>11.869673529342858</v>
      </c>
      <c r="H866" s="307">
        <f t="shared" ca="1" si="389"/>
        <v>-120.38437811254148</v>
      </c>
      <c r="I866" s="304">
        <f t="shared" ca="1" si="390"/>
        <v>120.96812655917483</v>
      </c>
      <c r="J866" s="306">
        <f t="shared" ca="1" si="391"/>
        <v>755.70453742140728</v>
      </c>
      <c r="K866" s="307">
        <f t="shared" ca="1" si="392"/>
        <v>-6.5442111572915582</v>
      </c>
      <c r="L866" s="304">
        <f t="shared" ca="1" si="377"/>
        <v>755.73287250123929</v>
      </c>
      <c r="M866" s="306">
        <f t="shared" ca="1" si="393"/>
        <v>-1.4725158646939791</v>
      </c>
      <c r="N866" s="304">
        <f t="shared" ca="1" si="394"/>
        <v>-84.368944313021984</v>
      </c>
      <c r="P866" s="310">
        <f t="shared" ca="1" si="395"/>
        <v>23</v>
      </c>
      <c r="Q866" s="304">
        <f t="shared" ca="1" si="396"/>
        <v>0</v>
      </c>
      <c r="R866" s="306">
        <f t="shared" ca="1" si="397"/>
        <v>0</v>
      </c>
      <c r="S866" s="307">
        <f t="shared" ca="1" si="398"/>
        <v>7.9769999999999968</v>
      </c>
      <c r="T866" s="304">
        <f t="shared" ca="1" si="378"/>
        <v>78.254369999999966</v>
      </c>
      <c r="U866" s="311">
        <f t="shared" ca="1" si="379"/>
        <v>0</v>
      </c>
      <c r="V866" s="306">
        <f t="shared" ca="1" si="380"/>
        <v>1.2258019282661639</v>
      </c>
      <c r="W866" s="304">
        <f t="shared" ca="1" si="381"/>
        <v>59.251021536525826</v>
      </c>
      <c r="Y866" s="314" t="str">
        <f t="shared" ca="1" si="399"/>
        <v/>
      </c>
      <c r="Z866" s="315" t="str">
        <f t="shared" ca="1" si="400"/>
        <v/>
      </c>
      <c r="AA866" s="316" t="str">
        <f t="shared" ca="1" si="401"/>
        <v/>
      </c>
      <c r="AC866" s="310" t="e">
        <f t="shared" ca="1" si="402"/>
        <v>#N/A</v>
      </c>
      <c r="AD866" s="323" t="e">
        <f t="shared" ca="1" si="403"/>
        <v>#N/A</v>
      </c>
      <c r="AE866" s="324" t="e">
        <f t="shared" ca="1" si="382"/>
        <v>#N/A</v>
      </c>
      <c r="AG866" s="306">
        <f t="shared" ca="1" si="404"/>
        <v>2.3349649139910813</v>
      </c>
      <c r="AH866" s="304">
        <f t="shared" ca="1" si="405"/>
        <v>-7.4276948065360777</v>
      </c>
    </row>
    <row r="867" spans="1:34" x14ac:dyDescent="0.2">
      <c r="A867" s="347">
        <f t="shared" ca="1" si="383"/>
        <v>1E-4</v>
      </c>
      <c r="B867" s="304">
        <f t="shared" ca="1" si="384"/>
        <v>33.634700000001359</v>
      </c>
      <c r="D867" s="306">
        <f t="shared" ca="1" si="385"/>
        <v>-0.72882635640885007</v>
      </c>
      <c r="E867" s="307">
        <f t="shared" ca="1" si="386"/>
        <v>-2.4181111286330008</v>
      </c>
      <c r="F867" s="304">
        <f t="shared" ca="1" si="387"/>
        <v>2.5255592030706717</v>
      </c>
      <c r="G867" s="306">
        <f t="shared" ca="1" si="388"/>
        <v>11.869600646707218</v>
      </c>
      <c r="H867" s="307">
        <f t="shared" ca="1" si="389"/>
        <v>-120.38461992365434</v>
      </c>
      <c r="I867" s="304">
        <f t="shared" ca="1" si="390"/>
        <v>120.96836005201949</v>
      </c>
      <c r="J867" s="306">
        <f t="shared" ca="1" si="391"/>
        <v>755.70453742140728</v>
      </c>
      <c r="K867" s="307">
        <f t="shared" ca="1" si="392"/>
        <v>-6.5562496071933678</v>
      </c>
      <c r="L867" s="304">
        <f t="shared" ca="1" si="377"/>
        <v>755.73297684315389</v>
      </c>
      <c r="M867" s="306">
        <f t="shared" ca="1" si="393"/>
        <v>-1.4725166604226998</v>
      </c>
      <c r="N867" s="304">
        <f t="shared" ca="1" si="394"/>
        <v>-84.368989904919317</v>
      </c>
      <c r="P867" s="310">
        <f t="shared" ca="1" si="395"/>
        <v>23</v>
      </c>
      <c r="Q867" s="304">
        <f t="shared" ca="1" si="396"/>
        <v>0</v>
      </c>
      <c r="R867" s="306">
        <f t="shared" ca="1" si="397"/>
        <v>0</v>
      </c>
      <c r="S867" s="307">
        <f t="shared" ca="1" si="398"/>
        <v>7.9769999999999968</v>
      </c>
      <c r="T867" s="304">
        <f t="shared" ca="1" si="378"/>
        <v>78.254369999999966</v>
      </c>
      <c r="U867" s="311">
        <f t="shared" ca="1" si="379"/>
        <v>0</v>
      </c>
      <c r="V867" s="306">
        <f t="shared" ca="1" si="380"/>
        <v>1.2258034039427206</v>
      </c>
      <c r="W867" s="304">
        <f t="shared" ca="1" si="381"/>
        <v>59.251321598924875</v>
      </c>
      <c r="Y867" s="314" t="str">
        <f t="shared" ca="1" si="399"/>
        <v/>
      </c>
      <c r="Z867" s="315" t="str">
        <f t="shared" ca="1" si="400"/>
        <v/>
      </c>
      <c r="AA867" s="316" t="str">
        <f t="shared" ca="1" si="401"/>
        <v/>
      </c>
      <c r="AC867" s="310" t="e">
        <f t="shared" ca="1" si="402"/>
        <v>#N/A</v>
      </c>
      <c r="AD867" s="323" t="e">
        <f t="shared" ca="1" si="403"/>
        <v>#N/A</v>
      </c>
      <c r="AE867" s="324" t="e">
        <f t="shared" ca="1" si="382"/>
        <v>#N/A</v>
      </c>
      <c r="AG867" s="306">
        <f t="shared" ca="1" si="404"/>
        <v>2.3349280637092225</v>
      </c>
      <c r="AH867" s="304">
        <f t="shared" ca="1" si="405"/>
        <v>-7.4277324227812276</v>
      </c>
    </row>
    <row r="868" spans="1:34" x14ac:dyDescent="0.2">
      <c r="A868" s="347">
        <f t="shared" ca="1" si="383"/>
        <v>1E-4</v>
      </c>
      <c r="B868" s="304">
        <f t="shared" ca="1" si="384"/>
        <v>33.634800000001363</v>
      </c>
      <c r="D868" s="306">
        <f t="shared" ca="1" si="385"/>
        <v>-0.728824165404515</v>
      </c>
      <c r="E868" s="307">
        <f t="shared" ca="1" si="386"/>
        <v>-2.4180731142595713</v>
      </c>
      <c r="F868" s="304">
        <f t="shared" ca="1" si="387"/>
        <v>2.5255221737261722</v>
      </c>
      <c r="G868" s="306">
        <f t="shared" ca="1" si="388"/>
        <v>11.869527764290677</v>
      </c>
      <c r="H868" s="307">
        <f t="shared" ca="1" si="389"/>
        <v>-120.38486173096577</v>
      </c>
      <c r="I868" s="304">
        <f t="shared" ca="1" si="390"/>
        <v>120.96859354117916</v>
      </c>
      <c r="J868" s="306">
        <f t="shared" ca="1" si="391"/>
        <v>755.70453742140728</v>
      </c>
      <c r="K868" s="307">
        <f t="shared" ca="1" si="392"/>
        <v>-6.5682880812760986</v>
      </c>
      <c r="L868" s="304">
        <f t="shared" ca="1" si="377"/>
        <v>755.73308137703077</v>
      </c>
      <c r="M868" s="306">
        <f t="shared" ca="1" si="393"/>
        <v>-1.4725174561434629</v>
      </c>
      <c r="N868" s="304">
        <f t="shared" ca="1" si="394"/>
        <v>-84.369035496360723</v>
      </c>
      <c r="P868" s="310">
        <f t="shared" ca="1" si="395"/>
        <v>23</v>
      </c>
      <c r="Q868" s="304">
        <f t="shared" ca="1" si="396"/>
        <v>0</v>
      </c>
      <c r="R868" s="306">
        <f t="shared" ca="1" si="397"/>
        <v>0</v>
      </c>
      <c r="S868" s="307">
        <f t="shared" ca="1" si="398"/>
        <v>7.9769999999999968</v>
      </c>
      <c r="T868" s="304">
        <f t="shared" ca="1" si="378"/>
        <v>78.254369999999966</v>
      </c>
      <c r="U868" s="311">
        <f t="shared" ca="1" si="379"/>
        <v>0</v>
      </c>
      <c r="V868" s="306">
        <f t="shared" ca="1" si="380"/>
        <v>1.2258048796240182</v>
      </c>
      <c r="W868" s="304">
        <f t="shared" ca="1" si="381"/>
        <v>59.251621658935413</v>
      </c>
      <c r="Y868" s="314" t="str">
        <f t="shared" ca="1" si="399"/>
        <v/>
      </c>
      <c r="Z868" s="315" t="str">
        <f t="shared" ca="1" si="400"/>
        <v/>
      </c>
      <c r="AA868" s="316" t="str">
        <f t="shared" ca="1" si="401"/>
        <v/>
      </c>
      <c r="AC868" s="310" t="e">
        <f t="shared" ca="1" si="402"/>
        <v>#N/A</v>
      </c>
      <c r="AD868" s="323" t="e">
        <f t="shared" ca="1" si="403"/>
        <v>#N/A</v>
      </c>
      <c r="AE868" s="324" t="e">
        <f t="shared" ca="1" si="382"/>
        <v>#N/A</v>
      </c>
      <c r="AG868" s="306">
        <f t="shared" ca="1" si="404"/>
        <v>2.3348912137129441</v>
      </c>
      <c r="AH868" s="304">
        <f t="shared" ca="1" si="405"/>
        <v>-7.4277700387269521</v>
      </c>
    </row>
    <row r="869" spans="1:34" x14ac:dyDescent="0.2">
      <c r="A869" s="347">
        <f t="shared" ca="1" si="383"/>
        <v>1E-4</v>
      </c>
      <c r="B869" s="304">
        <f t="shared" ca="1" si="384"/>
        <v>33.634900000001366</v>
      </c>
      <c r="D869" s="306">
        <f t="shared" ca="1" si="385"/>
        <v>-0.72882197436958607</v>
      </c>
      <c r="E869" s="307">
        <f t="shared" ca="1" si="386"/>
        <v>-2.4180351001887264</v>
      </c>
      <c r="F869" s="304">
        <f t="shared" ca="1" si="387"/>
        <v>2.5254851446937252</v>
      </c>
      <c r="G869" s="306">
        <f t="shared" ca="1" si="388"/>
        <v>11.86945488209324</v>
      </c>
      <c r="H869" s="307">
        <f t="shared" ca="1" si="389"/>
        <v>-120.38510353447579</v>
      </c>
      <c r="I869" s="304">
        <f t="shared" ca="1" si="390"/>
        <v>120.96882702665386</v>
      </c>
      <c r="J869" s="306">
        <f t="shared" ca="1" si="391"/>
        <v>755.70453742140728</v>
      </c>
      <c r="K869" s="307">
        <f t="shared" ca="1" si="392"/>
        <v>-6.5803265795393706</v>
      </c>
      <c r="L869" s="304">
        <f t="shared" ca="1" si="377"/>
        <v>755.73318610287095</v>
      </c>
      <c r="M869" s="306">
        <f t="shared" ca="1" si="393"/>
        <v>-1.4725182518562683</v>
      </c>
      <c r="N869" s="304">
        <f t="shared" ca="1" si="394"/>
        <v>-84.369081087346174</v>
      </c>
      <c r="P869" s="310">
        <f t="shared" ca="1" si="395"/>
        <v>23</v>
      </c>
      <c r="Q869" s="304">
        <f t="shared" ca="1" si="396"/>
        <v>0</v>
      </c>
      <c r="R869" s="306">
        <f t="shared" ca="1" si="397"/>
        <v>0</v>
      </c>
      <c r="S869" s="307">
        <f t="shared" ca="1" si="398"/>
        <v>7.9769999999999968</v>
      </c>
      <c r="T869" s="304">
        <f t="shared" ca="1" si="378"/>
        <v>78.254369999999966</v>
      </c>
      <c r="U869" s="311">
        <f t="shared" ca="1" si="379"/>
        <v>0</v>
      </c>
      <c r="V869" s="306">
        <f t="shared" ca="1" si="380"/>
        <v>1.2258063553100578</v>
      </c>
      <c r="W869" s="304">
        <f t="shared" ca="1" si="381"/>
        <v>59.251921716557469</v>
      </c>
      <c r="Y869" s="314" t="str">
        <f t="shared" ca="1" si="399"/>
        <v/>
      </c>
      <c r="Z869" s="315" t="str">
        <f t="shared" ca="1" si="400"/>
        <v/>
      </c>
      <c r="AA869" s="316" t="str">
        <f t="shared" ca="1" si="401"/>
        <v/>
      </c>
      <c r="AC869" s="310" t="e">
        <f t="shared" ca="1" si="402"/>
        <v>#N/A</v>
      </c>
      <c r="AD869" s="323" t="e">
        <f t="shared" ca="1" si="403"/>
        <v>#N/A</v>
      </c>
      <c r="AE869" s="324" t="e">
        <f t="shared" ca="1" si="382"/>
        <v>#N/A</v>
      </c>
      <c r="AG869" s="306">
        <f t="shared" ca="1" si="404"/>
        <v>2.3348543640022514</v>
      </c>
      <c r="AH869" s="304">
        <f t="shared" ca="1" si="405"/>
        <v>-7.427807654373253</v>
      </c>
    </row>
    <row r="870" spans="1:34" x14ac:dyDescent="0.2">
      <c r="A870" s="347">
        <f t="shared" ca="1" si="383"/>
        <v>1E-4</v>
      </c>
      <c r="B870" s="304">
        <f t="shared" ca="1" si="384"/>
        <v>33.635000000001369</v>
      </c>
      <c r="D870" s="306">
        <f t="shared" ca="1" si="385"/>
        <v>-0.72881978330406505</v>
      </c>
      <c r="E870" s="307">
        <f t="shared" ca="1" si="386"/>
        <v>-2.4179970864204643</v>
      </c>
      <c r="F870" s="304">
        <f t="shared" ca="1" si="387"/>
        <v>2.5254481159733295</v>
      </c>
      <c r="G870" s="306">
        <f t="shared" ca="1" si="388"/>
        <v>11.869382000114911</v>
      </c>
      <c r="H870" s="307">
        <f t="shared" ca="1" si="389"/>
        <v>-120.38534533418444</v>
      </c>
      <c r="I870" s="304">
        <f t="shared" ca="1" si="390"/>
        <v>120.96906050844362</v>
      </c>
      <c r="J870" s="306">
        <f t="shared" ca="1" si="391"/>
        <v>755.70453742140728</v>
      </c>
      <c r="K870" s="307">
        <f t="shared" ca="1" si="392"/>
        <v>-6.5923651019828036</v>
      </c>
      <c r="L870" s="304">
        <f t="shared" ca="1" si="377"/>
        <v>755.73329102067555</v>
      </c>
      <c r="M870" s="306">
        <f t="shared" ca="1" si="393"/>
        <v>-1.4725190475611161</v>
      </c>
      <c r="N870" s="304">
        <f t="shared" ca="1" si="394"/>
        <v>-84.369126677875684</v>
      </c>
      <c r="P870" s="310">
        <f t="shared" ca="1" si="395"/>
        <v>23</v>
      </c>
      <c r="Q870" s="304">
        <f t="shared" ca="1" si="396"/>
        <v>0</v>
      </c>
      <c r="R870" s="306">
        <f t="shared" ca="1" si="397"/>
        <v>0</v>
      </c>
      <c r="S870" s="307">
        <f t="shared" ca="1" si="398"/>
        <v>7.9769999999999968</v>
      </c>
      <c r="T870" s="304">
        <f t="shared" ca="1" si="378"/>
        <v>78.254369999999966</v>
      </c>
      <c r="U870" s="311">
        <f t="shared" ca="1" si="379"/>
        <v>0</v>
      </c>
      <c r="V870" s="306">
        <f t="shared" ca="1" si="380"/>
        <v>1.225807831000838</v>
      </c>
      <c r="W870" s="304">
        <f t="shared" ca="1" si="381"/>
        <v>59.252221771791021</v>
      </c>
      <c r="Y870" s="314" t="str">
        <f t="shared" ca="1" si="399"/>
        <v/>
      </c>
      <c r="Z870" s="315" t="str">
        <f t="shared" ca="1" si="400"/>
        <v/>
      </c>
      <c r="AA870" s="316" t="str">
        <f t="shared" ca="1" si="401"/>
        <v/>
      </c>
      <c r="AC870" s="310" t="e">
        <f t="shared" ca="1" si="402"/>
        <v>#N/A</v>
      </c>
      <c r="AD870" s="323" t="e">
        <f t="shared" ca="1" si="403"/>
        <v>#N/A</v>
      </c>
      <c r="AE870" s="324" t="e">
        <f t="shared" ca="1" si="382"/>
        <v>#N/A</v>
      </c>
      <c r="AG870" s="306">
        <f t="shared" ca="1" si="404"/>
        <v>2.3348175145771375</v>
      </c>
      <c r="AH870" s="304">
        <f t="shared" ca="1" si="405"/>
        <v>-7.427845269720132</v>
      </c>
    </row>
    <row r="871" spans="1:34" x14ac:dyDescent="0.2">
      <c r="A871" s="347">
        <f t="shared" ca="1" si="383"/>
        <v>1E-4</v>
      </c>
      <c r="B871" s="304">
        <f t="shared" ca="1" si="384"/>
        <v>33.635100000001373</v>
      </c>
      <c r="D871" s="306">
        <f t="shared" ca="1" si="385"/>
        <v>-0.72881759220795317</v>
      </c>
      <c r="E871" s="307">
        <f t="shared" ca="1" si="386"/>
        <v>-2.4179590729547868</v>
      </c>
      <c r="F871" s="304">
        <f t="shared" ca="1" si="387"/>
        <v>2.5254110875649873</v>
      </c>
      <c r="G871" s="306">
        <f t="shared" ca="1" si="388"/>
        <v>11.869309118355689</v>
      </c>
      <c r="H871" s="307">
        <f t="shared" ca="1" si="389"/>
        <v>-120.38558713009174</v>
      </c>
      <c r="I871" s="304">
        <f t="shared" ca="1" si="390"/>
        <v>120.96929398654846</v>
      </c>
      <c r="J871" s="306">
        <f t="shared" ca="1" si="391"/>
        <v>755.70453742140728</v>
      </c>
      <c r="K871" s="307">
        <f t="shared" ca="1" si="392"/>
        <v>-6.6044036486060174</v>
      </c>
      <c r="L871" s="304">
        <f t="shared" ca="1" si="377"/>
        <v>755.7333961304455</v>
      </c>
      <c r="M871" s="306">
        <f t="shared" ca="1" si="393"/>
        <v>-1.4725198432580067</v>
      </c>
      <c r="N871" s="304">
        <f t="shared" ca="1" si="394"/>
        <v>-84.369172267949295</v>
      </c>
      <c r="P871" s="310">
        <f t="shared" ca="1" si="395"/>
        <v>23</v>
      </c>
      <c r="Q871" s="304">
        <f t="shared" ca="1" si="396"/>
        <v>0</v>
      </c>
      <c r="R871" s="306">
        <f t="shared" ca="1" si="397"/>
        <v>0</v>
      </c>
      <c r="S871" s="307">
        <f t="shared" ca="1" si="398"/>
        <v>7.9769999999999968</v>
      </c>
      <c r="T871" s="304">
        <f t="shared" ca="1" si="378"/>
        <v>78.254369999999966</v>
      </c>
      <c r="U871" s="311">
        <f t="shared" ca="1" si="379"/>
        <v>0</v>
      </c>
      <c r="V871" s="306">
        <f t="shared" ca="1" si="380"/>
        <v>1.2258093066963591</v>
      </c>
      <c r="W871" s="304">
        <f t="shared" ca="1" si="381"/>
        <v>59.252521824636027</v>
      </c>
      <c r="Y871" s="314" t="str">
        <f t="shared" ca="1" si="399"/>
        <v/>
      </c>
      <c r="Z871" s="315" t="str">
        <f t="shared" ca="1" si="400"/>
        <v/>
      </c>
      <c r="AA871" s="316" t="str">
        <f t="shared" ca="1" si="401"/>
        <v/>
      </c>
      <c r="AC871" s="310" t="e">
        <f t="shared" ca="1" si="402"/>
        <v>#N/A</v>
      </c>
      <c r="AD871" s="323" t="e">
        <f t="shared" ca="1" si="403"/>
        <v>#N/A</v>
      </c>
      <c r="AE871" s="324" t="e">
        <f t="shared" ca="1" si="382"/>
        <v>#N/A</v>
      </c>
      <c r="AG871" s="306">
        <f t="shared" ca="1" si="404"/>
        <v>2.3347806654376075</v>
      </c>
      <c r="AH871" s="304">
        <f t="shared" ca="1" si="405"/>
        <v>-7.4278828847675875</v>
      </c>
    </row>
    <row r="872" spans="1:34" x14ac:dyDescent="0.2">
      <c r="A872" s="347">
        <f t="shared" ca="1" si="383"/>
        <v>1E-4</v>
      </c>
      <c r="B872" s="304">
        <f t="shared" ca="1" si="384"/>
        <v>33.635200000001376</v>
      </c>
      <c r="D872" s="306">
        <f t="shared" ca="1" si="385"/>
        <v>-0.72881540108124865</v>
      </c>
      <c r="E872" s="307">
        <f t="shared" ca="1" si="386"/>
        <v>-2.4179210597917002</v>
      </c>
      <c r="F872" s="304">
        <f t="shared" ca="1" si="387"/>
        <v>2.525374059468704</v>
      </c>
      <c r="G872" s="306">
        <f t="shared" ca="1" si="388"/>
        <v>11.869236236815581</v>
      </c>
      <c r="H872" s="307">
        <f t="shared" ca="1" si="389"/>
        <v>-120.38582892219772</v>
      </c>
      <c r="I872" s="304">
        <f t="shared" ca="1" si="390"/>
        <v>120.96952746096842</v>
      </c>
      <c r="J872" s="306">
        <f t="shared" ca="1" si="391"/>
        <v>755.70453742140728</v>
      </c>
      <c r="K872" s="307">
        <f t="shared" ca="1" si="392"/>
        <v>-6.6164422194086319</v>
      </c>
      <c r="L872" s="304">
        <f t="shared" ca="1" si="377"/>
        <v>755.73350143218204</v>
      </c>
      <c r="M872" s="306">
        <f t="shared" ca="1" si="393"/>
        <v>-1.4725206389469399</v>
      </c>
      <c r="N872" s="304">
        <f t="shared" ca="1" si="394"/>
        <v>-84.369217857566966</v>
      </c>
      <c r="P872" s="310">
        <f t="shared" ca="1" si="395"/>
        <v>23</v>
      </c>
      <c r="Q872" s="304">
        <f t="shared" ca="1" si="396"/>
        <v>0</v>
      </c>
      <c r="R872" s="306">
        <f t="shared" ca="1" si="397"/>
        <v>0</v>
      </c>
      <c r="S872" s="307">
        <f t="shared" ca="1" si="398"/>
        <v>7.9769999999999968</v>
      </c>
      <c r="T872" s="304">
        <f t="shared" ca="1" si="378"/>
        <v>78.254369999999966</v>
      </c>
      <c r="U872" s="311">
        <f t="shared" ca="1" si="379"/>
        <v>0</v>
      </c>
      <c r="V872" s="306">
        <f t="shared" ca="1" si="380"/>
        <v>1.2258107823966216</v>
      </c>
      <c r="W872" s="304">
        <f t="shared" ca="1" si="381"/>
        <v>59.252821875092529</v>
      </c>
      <c r="Y872" s="314" t="str">
        <f t="shared" ca="1" si="399"/>
        <v/>
      </c>
      <c r="Z872" s="315" t="str">
        <f t="shared" ca="1" si="400"/>
        <v/>
      </c>
      <c r="AA872" s="316" t="str">
        <f t="shared" ca="1" si="401"/>
        <v/>
      </c>
      <c r="AC872" s="310" t="e">
        <f t="shared" ca="1" si="402"/>
        <v>#N/A</v>
      </c>
      <c r="AD872" s="323" t="e">
        <f t="shared" ca="1" si="403"/>
        <v>#N/A</v>
      </c>
      <c r="AE872" s="324" t="e">
        <f t="shared" ca="1" si="382"/>
        <v>#N/A</v>
      </c>
      <c r="AG872" s="306">
        <f t="shared" ca="1" si="404"/>
        <v>2.3347438165836651</v>
      </c>
      <c r="AH872" s="304">
        <f t="shared" ca="1" si="405"/>
        <v>-7.4279204995156141</v>
      </c>
    </row>
    <row r="873" spans="1:34" x14ac:dyDescent="0.2">
      <c r="A873" s="347">
        <f t="shared" ca="1" si="383"/>
        <v>1E-4</v>
      </c>
      <c r="B873" s="304">
        <f t="shared" ca="1" si="384"/>
        <v>33.635300000001379</v>
      </c>
      <c r="D873" s="306">
        <f t="shared" ca="1" si="385"/>
        <v>-0.72881320992395493</v>
      </c>
      <c r="E873" s="307">
        <f t="shared" ca="1" si="386"/>
        <v>-2.4178830469311992</v>
      </c>
      <c r="F873" s="304">
        <f t="shared" ca="1" si="387"/>
        <v>2.5253370316844759</v>
      </c>
      <c r="G873" s="306">
        <f t="shared" ca="1" si="388"/>
        <v>11.869163355494589</v>
      </c>
      <c r="H873" s="307">
        <f t="shared" ca="1" si="389"/>
        <v>-120.38607071050241</v>
      </c>
      <c r="I873" s="304">
        <f t="shared" ca="1" si="390"/>
        <v>120.96976093170352</v>
      </c>
      <c r="J873" s="306">
        <f t="shared" ca="1" si="391"/>
        <v>755.70453742140728</v>
      </c>
      <c r="K873" s="307">
        <f t="shared" ca="1" si="392"/>
        <v>-6.6284808143902669</v>
      </c>
      <c r="L873" s="304">
        <f t="shared" ca="1" si="377"/>
        <v>755.73360692588619</v>
      </c>
      <c r="M873" s="306">
        <f t="shared" ca="1" si="393"/>
        <v>-1.4725214346279158</v>
      </c>
      <c r="N873" s="304">
        <f t="shared" ca="1" si="394"/>
        <v>-84.369263446728738</v>
      </c>
      <c r="P873" s="310">
        <f t="shared" ca="1" si="395"/>
        <v>23</v>
      </c>
      <c r="Q873" s="304">
        <f t="shared" ca="1" si="396"/>
        <v>0</v>
      </c>
      <c r="R873" s="306">
        <f t="shared" ca="1" si="397"/>
        <v>0</v>
      </c>
      <c r="S873" s="307">
        <f t="shared" ca="1" si="398"/>
        <v>7.9769999999999968</v>
      </c>
      <c r="T873" s="304">
        <f t="shared" ca="1" si="378"/>
        <v>78.254369999999966</v>
      </c>
      <c r="U873" s="311">
        <f t="shared" ca="1" si="379"/>
        <v>0</v>
      </c>
      <c r="V873" s="306">
        <f t="shared" ca="1" si="380"/>
        <v>1.2258122581016251</v>
      </c>
      <c r="W873" s="304">
        <f t="shared" ca="1" si="381"/>
        <v>59.253121923160514</v>
      </c>
      <c r="Y873" s="314" t="str">
        <f t="shared" ca="1" si="399"/>
        <v/>
      </c>
      <c r="Z873" s="315" t="str">
        <f t="shared" ca="1" si="400"/>
        <v/>
      </c>
      <c r="AA873" s="316" t="str">
        <f t="shared" ca="1" si="401"/>
        <v/>
      </c>
      <c r="AC873" s="310" t="e">
        <f t="shared" ca="1" si="402"/>
        <v>#N/A</v>
      </c>
      <c r="AD873" s="323" t="e">
        <f t="shared" ca="1" si="403"/>
        <v>#N/A</v>
      </c>
      <c r="AE873" s="324" t="e">
        <f t="shared" ca="1" si="382"/>
        <v>#N/A</v>
      </c>
      <c r="AG873" s="306">
        <f t="shared" ca="1" si="404"/>
        <v>2.3347069680153076</v>
      </c>
      <c r="AH873" s="304">
        <f t="shared" ca="1" si="405"/>
        <v>-7.4279581139642161</v>
      </c>
    </row>
    <row r="874" spans="1:34" x14ac:dyDescent="0.2">
      <c r="A874" s="347">
        <f t="shared" ca="1" si="383"/>
        <v>1E-4</v>
      </c>
      <c r="B874" s="304">
        <f t="shared" ca="1" si="384"/>
        <v>33.635400000001383</v>
      </c>
      <c r="D874" s="306">
        <f t="shared" ca="1" si="385"/>
        <v>-0.72881101873607201</v>
      </c>
      <c r="E874" s="307">
        <f t="shared" ca="1" si="386"/>
        <v>-2.4178450343732854</v>
      </c>
      <c r="F874" s="304">
        <f t="shared" ca="1" si="387"/>
        <v>2.5253000042123044</v>
      </c>
      <c r="G874" s="306">
        <f t="shared" ca="1" si="388"/>
        <v>11.869090474392715</v>
      </c>
      <c r="H874" s="307">
        <f t="shared" ca="1" si="389"/>
        <v>-120.38631249500585</v>
      </c>
      <c r="I874" s="304">
        <f t="shared" ca="1" si="390"/>
        <v>120.96999439875378</v>
      </c>
      <c r="J874" s="306">
        <f t="shared" ca="1" si="391"/>
        <v>755.70453742140728</v>
      </c>
      <c r="K874" s="307">
        <f t="shared" ca="1" si="392"/>
        <v>-6.6405194335505424</v>
      </c>
      <c r="L874" s="304">
        <f t="shared" ca="1" si="377"/>
        <v>755.73371261155899</v>
      </c>
      <c r="M874" s="306">
        <f t="shared" ca="1" si="393"/>
        <v>-1.4725222303009351</v>
      </c>
      <c r="N874" s="304">
        <f t="shared" ca="1" si="394"/>
        <v>-84.369309035434611</v>
      </c>
      <c r="P874" s="310">
        <f t="shared" ca="1" si="395"/>
        <v>23</v>
      </c>
      <c r="Q874" s="304">
        <f t="shared" ca="1" si="396"/>
        <v>0</v>
      </c>
      <c r="R874" s="306">
        <f t="shared" ca="1" si="397"/>
        <v>0</v>
      </c>
      <c r="S874" s="307">
        <f t="shared" ca="1" si="398"/>
        <v>7.9769999999999968</v>
      </c>
      <c r="T874" s="304">
        <f t="shared" ca="1" si="378"/>
        <v>78.254369999999966</v>
      </c>
      <c r="U874" s="311">
        <f t="shared" ca="1" si="379"/>
        <v>0</v>
      </c>
      <c r="V874" s="306">
        <f t="shared" ca="1" si="380"/>
        <v>1.2258137338113693</v>
      </c>
      <c r="W874" s="304">
        <f t="shared" ca="1" si="381"/>
        <v>59.253421968839952</v>
      </c>
      <c r="Y874" s="314" t="str">
        <f t="shared" ca="1" si="399"/>
        <v/>
      </c>
      <c r="Z874" s="315" t="str">
        <f t="shared" ca="1" si="400"/>
        <v/>
      </c>
      <c r="AA874" s="316" t="str">
        <f t="shared" ca="1" si="401"/>
        <v/>
      </c>
      <c r="AC874" s="310" t="e">
        <f t="shared" ca="1" si="402"/>
        <v>#N/A</v>
      </c>
      <c r="AD874" s="323" t="e">
        <f t="shared" ca="1" si="403"/>
        <v>#N/A</v>
      </c>
      <c r="AE874" s="324" t="e">
        <f t="shared" ca="1" si="382"/>
        <v>#N/A</v>
      </c>
      <c r="AG874" s="306">
        <f t="shared" ca="1" si="404"/>
        <v>2.3346701197325359</v>
      </c>
      <c r="AH874" s="304">
        <f t="shared" ca="1" si="405"/>
        <v>-7.4279957281133928</v>
      </c>
    </row>
    <row r="875" spans="1:34" x14ac:dyDescent="0.2">
      <c r="A875" s="347">
        <f t="shared" ca="1" si="383"/>
        <v>1E-4</v>
      </c>
      <c r="B875" s="304">
        <f t="shared" ca="1" si="384"/>
        <v>33.635500000001386</v>
      </c>
      <c r="D875" s="306">
        <f t="shared" ca="1" si="385"/>
        <v>-0.72880882751759768</v>
      </c>
      <c r="E875" s="307">
        <f t="shared" ca="1" si="386"/>
        <v>-2.4178070221179615</v>
      </c>
      <c r="F875" s="304">
        <f t="shared" ca="1" si="387"/>
        <v>2.5252629770521922</v>
      </c>
      <c r="G875" s="306">
        <f t="shared" ca="1" si="388"/>
        <v>11.869017593509964</v>
      </c>
      <c r="H875" s="307">
        <f t="shared" ca="1" si="389"/>
        <v>-120.38655427570806</v>
      </c>
      <c r="I875" s="304">
        <f t="shared" ca="1" si="390"/>
        <v>120.97022786211926</v>
      </c>
      <c r="J875" s="306">
        <f t="shared" ca="1" si="391"/>
        <v>755.70453742140728</v>
      </c>
      <c r="K875" s="307">
        <f t="shared" ca="1" si="392"/>
        <v>-6.6525580768890782</v>
      </c>
      <c r="L875" s="304">
        <f t="shared" ca="1" si="377"/>
        <v>755.73381848920155</v>
      </c>
      <c r="M875" s="306">
        <f t="shared" ca="1" si="393"/>
        <v>-1.4725230259659972</v>
      </c>
      <c r="N875" s="304">
        <f t="shared" ca="1" si="394"/>
        <v>-84.369354623684572</v>
      </c>
      <c r="P875" s="310">
        <f t="shared" ca="1" si="395"/>
        <v>23</v>
      </c>
      <c r="Q875" s="304">
        <f t="shared" ca="1" si="396"/>
        <v>0</v>
      </c>
      <c r="R875" s="306">
        <f t="shared" ca="1" si="397"/>
        <v>0</v>
      </c>
      <c r="S875" s="307">
        <f t="shared" ca="1" si="398"/>
        <v>7.9769999999999968</v>
      </c>
      <c r="T875" s="304">
        <f t="shared" ca="1" si="378"/>
        <v>78.254369999999966</v>
      </c>
      <c r="U875" s="311">
        <f t="shared" ca="1" si="379"/>
        <v>0</v>
      </c>
      <c r="V875" s="306">
        <f t="shared" ca="1" si="380"/>
        <v>1.225815209525855</v>
      </c>
      <c r="W875" s="304">
        <f t="shared" ca="1" si="381"/>
        <v>59.253722012130908</v>
      </c>
      <c r="Y875" s="314" t="str">
        <f t="shared" ca="1" si="399"/>
        <v/>
      </c>
      <c r="Z875" s="315" t="str">
        <f t="shared" ca="1" si="400"/>
        <v/>
      </c>
      <c r="AA875" s="316" t="str">
        <f t="shared" ca="1" si="401"/>
        <v/>
      </c>
      <c r="AC875" s="310" t="e">
        <f t="shared" ca="1" si="402"/>
        <v>#N/A</v>
      </c>
      <c r="AD875" s="323" t="e">
        <f t="shared" ca="1" si="403"/>
        <v>#N/A</v>
      </c>
      <c r="AE875" s="324" t="e">
        <f t="shared" ca="1" si="382"/>
        <v>#N/A</v>
      </c>
      <c r="AG875" s="306">
        <f t="shared" ca="1" si="404"/>
        <v>2.3346332717353535</v>
      </c>
      <c r="AH875" s="304">
        <f t="shared" ca="1" si="405"/>
        <v>-7.4280333419631406</v>
      </c>
    </row>
    <row r="876" spans="1:34" x14ac:dyDescent="0.2">
      <c r="A876" s="347">
        <f t="shared" ca="1" si="383"/>
        <v>1E-4</v>
      </c>
      <c r="B876" s="304">
        <f t="shared" ca="1" si="384"/>
        <v>33.635600000001389</v>
      </c>
      <c r="D876" s="306">
        <f t="shared" ca="1" si="385"/>
        <v>-0.7288066362685377</v>
      </c>
      <c r="E876" s="307">
        <f t="shared" ca="1" si="386"/>
        <v>-2.4177690101652205</v>
      </c>
      <c r="F876" s="304">
        <f t="shared" ca="1" si="387"/>
        <v>2.5252259502041339</v>
      </c>
      <c r="G876" s="306">
        <f t="shared" ca="1" si="388"/>
        <v>11.868944712846337</v>
      </c>
      <c r="H876" s="307">
        <f t="shared" ca="1" si="389"/>
        <v>-120.38679605260909</v>
      </c>
      <c r="I876" s="304">
        <f t="shared" ca="1" si="390"/>
        <v>120.97046132179995</v>
      </c>
      <c r="J876" s="306">
        <f t="shared" ca="1" si="391"/>
        <v>755.70453742140728</v>
      </c>
      <c r="K876" s="307">
        <f t="shared" ca="1" si="392"/>
        <v>-6.6645967444054941</v>
      </c>
      <c r="L876" s="304">
        <f t="shared" ca="1" si="377"/>
        <v>755.73392455881503</v>
      </c>
      <c r="M876" s="306">
        <f t="shared" ca="1" si="393"/>
        <v>-1.4725238216231025</v>
      </c>
      <c r="N876" s="304">
        <f t="shared" ca="1" si="394"/>
        <v>-84.369400211478649</v>
      </c>
      <c r="P876" s="310">
        <f t="shared" ca="1" si="395"/>
        <v>23</v>
      </c>
      <c r="Q876" s="304">
        <f t="shared" ca="1" si="396"/>
        <v>0</v>
      </c>
      <c r="R876" s="306">
        <f t="shared" ca="1" si="397"/>
        <v>0</v>
      </c>
      <c r="S876" s="307">
        <f t="shared" ca="1" si="398"/>
        <v>7.9769999999999968</v>
      </c>
      <c r="T876" s="304">
        <f t="shared" ca="1" si="378"/>
        <v>78.254369999999966</v>
      </c>
      <c r="U876" s="311">
        <f t="shared" ca="1" si="379"/>
        <v>0</v>
      </c>
      <c r="V876" s="306">
        <f t="shared" ca="1" si="380"/>
        <v>1.2258166852450809</v>
      </c>
      <c r="W876" s="304">
        <f t="shared" ca="1" si="381"/>
        <v>59.25402205303326</v>
      </c>
      <c r="Y876" s="314" t="str">
        <f t="shared" ca="1" si="399"/>
        <v/>
      </c>
      <c r="Z876" s="315" t="str">
        <f t="shared" ca="1" si="400"/>
        <v/>
      </c>
      <c r="AA876" s="316" t="str">
        <f t="shared" ca="1" si="401"/>
        <v/>
      </c>
      <c r="AC876" s="310" t="e">
        <f t="shared" ca="1" si="402"/>
        <v>#N/A</v>
      </c>
      <c r="AD876" s="323" t="e">
        <f t="shared" ca="1" si="403"/>
        <v>#N/A</v>
      </c>
      <c r="AE876" s="324" t="e">
        <f t="shared" ca="1" si="382"/>
        <v>#N/A</v>
      </c>
      <c r="AG876" s="306">
        <f t="shared" ca="1" si="404"/>
        <v>2.3345964240237524</v>
      </c>
      <c r="AH876" s="304">
        <f t="shared" ca="1" si="405"/>
        <v>-7.4280709555134674</v>
      </c>
    </row>
    <row r="877" spans="1:34" x14ac:dyDescent="0.2">
      <c r="A877" s="347">
        <f t="shared" ca="1" si="383"/>
        <v>1E-4</v>
      </c>
      <c r="B877" s="304">
        <f t="shared" ca="1" si="384"/>
        <v>33.635700000001393</v>
      </c>
      <c r="D877" s="306">
        <f t="shared" ca="1" si="385"/>
        <v>-0.72880444498888919</v>
      </c>
      <c r="E877" s="307">
        <f t="shared" ca="1" si="386"/>
        <v>-2.4177309985150766</v>
      </c>
      <c r="F877" s="304">
        <f t="shared" ca="1" si="387"/>
        <v>2.5251889236681424</v>
      </c>
      <c r="G877" s="306">
        <f t="shared" ca="1" si="388"/>
        <v>11.868871832401839</v>
      </c>
      <c r="H877" s="307">
        <f t="shared" ca="1" si="389"/>
        <v>-120.38703782570893</v>
      </c>
      <c r="I877" s="304">
        <f t="shared" ca="1" si="390"/>
        <v>120.97069477779588</v>
      </c>
      <c r="J877" s="306">
        <f t="shared" ca="1" si="391"/>
        <v>755.70453742140728</v>
      </c>
      <c r="K877" s="307">
        <f t="shared" ca="1" si="392"/>
        <v>-6.67663543609941</v>
      </c>
      <c r="L877" s="304">
        <f t="shared" ca="1" si="377"/>
        <v>755.73403082040033</v>
      </c>
      <c r="M877" s="306">
        <f t="shared" ca="1" si="393"/>
        <v>-1.472524617272251</v>
      </c>
      <c r="N877" s="304">
        <f t="shared" ca="1" si="394"/>
        <v>-84.369445798816827</v>
      </c>
      <c r="P877" s="310">
        <f t="shared" ca="1" si="395"/>
        <v>23</v>
      </c>
      <c r="Q877" s="304">
        <f t="shared" ca="1" si="396"/>
        <v>0</v>
      </c>
      <c r="R877" s="306">
        <f t="shared" ca="1" si="397"/>
        <v>0</v>
      </c>
      <c r="S877" s="307">
        <f t="shared" ca="1" si="398"/>
        <v>7.9769999999999968</v>
      </c>
      <c r="T877" s="304">
        <f t="shared" ca="1" si="378"/>
        <v>78.254369999999966</v>
      </c>
      <c r="U877" s="311">
        <f t="shared" ca="1" si="379"/>
        <v>0</v>
      </c>
      <c r="V877" s="306">
        <f t="shared" ca="1" si="380"/>
        <v>1.2258181609690482</v>
      </c>
      <c r="W877" s="304">
        <f t="shared" ca="1" si="381"/>
        <v>59.254322091547103</v>
      </c>
      <c r="Y877" s="314" t="str">
        <f t="shared" ca="1" si="399"/>
        <v/>
      </c>
      <c r="Z877" s="315" t="str">
        <f t="shared" ca="1" si="400"/>
        <v/>
      </c>
      <c r="AA877" s="316" t="str">
        <f t="shared" ca="1" si="401"/>
        <v/>
      </c>
      <c r="AC877" s="310" t="e">
        <f t="shared" ca="1" si="402"/>
        <v>#N/A</v>
      </c>
      <c r="AD877" s="323" t="e">
        <f t="shared" ca="1" si="403"/>
        <v>#N/A</v>
      </c>
      <c r="AE877" s="324" t="e">
        <f t="shared" ca="1" si="382"/>
        <v>#N/A</v>
      </c>
      <c r="AG877" s="306">
        <f t="shared" ca="1" si="404"/>
        <v>2.3345595765977478</v>
      </c>
      <c r="AH877" s="304">
        <f t="shared" ca="1" si="405"/>
        <v>-7.4281085687643582</v>
      </c>
    </row>
    <row r="878" spans="1:34" x14ac:dyDescent="0.2">
      <c r="A878" s="347">
        <f t="shared" ca="1" si="383"/>
        <v>1E-4</v>
      </c>
      <c r="B878" s="304">
        <f t="shared" ca="1" si="384"/>
        <v>33.635800000001396</v>
      </c>
      <c r="D878" s="306">
        <f t="shared" ca="1" si="385"/>
        <v>-0.72880225367865437</v>
      </c>
      <c r="E878" s="307">
        <f t="shared" ca="1" si="386"/>
        <v>-2.417692987167519</v>
      </c>
      <c r="F878" s="304">
        <f t="shared" ca="1" si="387"/>
        <v>2.5251518974442089</v>
      </c>
      <c r="G878" s="306">
        <f t="shared" ca="1" si="388"/>
        <v>11.868798952176471</v>
      </c>
      <c r="H878" s="307">
        <f t="shared" ca="1" si="389"/>
        <v>-120.38727959500764</v>
      </c>
      <c r="I878" s="304">
        <f t="shared" ca="1" si="390"/>
        <v>120.97092823010712</v>
      </c>
      <c r="J878" s="306">
        <f t="shared" ca="1" si="391"/>
        <v>755.70453742140728</v>
      </c>
      <c r="K878" s="307">
        <f t="shared" ca="1" si="392"/>
        <v>-6.6886741519704458</v>
      </c>
      <c r="L878" s="304">
        <f t="shared" ca="1" si="377"/>
        <v>755.73413727395859</v>
      </c>
      <c r="M878" s="306">
        <f t="shared" ca="1" si="393"/>
        <v>-1.4725254129134433</v>
      </c>
      <c r="N878" s="304">
        <f t="shared" ca="1" si="394"/>
        <v>-84.369491385699149</v>
      </c>
      <c r="P878" s="310">
        <f t="shared" ca="1" si="395"/>
        <v>23</v>
      </c>
      <c r="Q878" s="304">
        <f t="shared" ca="1" si="396"/>
        <v>0</v>
      </c>
      <c r="R878" s="306">
        <f t="shared" ca="1" si="397"/>
        <v>0</v>
      </c>
      <c r="S878" s="307">
        <f t="shared" ca="1" si="398"/>
        <v>7.9769999999999968</v>
      </c>
      <c r="T878" s="304">
        <f t="shared" ca="1" si="378"/>
        <v>78.254369999999966</v>
      </c>
      <c r="U878" s="311">
        <f t="shared" ca="1" si="379"/>
        <v>0</v>
      </c>
      <c r="V878" s="306">
        <f t="shared" ca="1" si="380"/>
        <v>1.2258196366977561</v>
      </c>
      <c r="W878" s="304">
        <f t="shared" ca="1" si="381"/>
        <v>59.254622127672413</v>
      </c>
      <c r="Y878" s="314" t="str">
        <f t="shared" ca="1" si="399"/>
        <v/>
      </c>
      <c r="Z878" s="315" t="str">
        <f t="shared" ca="1" si="400"/>
        <v/>
      </c>
      <c r="AA878" s="316" t="str">
        <f t="shared" ca="1" si="401"/>
        <v/>
      </c>
      <c r="AC878" s="310" t="e">
        <f t="shared" ca="1" si="402"/>
        <v>#N/A</v>
      </c>
      <c r="AD878" s="323" t="e">
        <f t="shared" ca="1" si="403"/>
        <v>#N/A</v>
      </c>
      <c r="AE878" s="324" t="e">
        <f t="shared" ca="1" si="382"/>
        <v>#N/A</v>
      </c>
      <c r="AG878" s="306">
        <f t="shared" ca="1" si="404"/>
        <v>2.3345227294573307</v>
      </c>
      <c r="AH878" s="304">
        <f t="shared" ca="1" si="405"/>
        <v>-7.4281461817158236</v>
      </c>
    </row>
    <row r="879" spans="1:34" x14ac:dyDescent="0.2">
      <c r="A879" s="347">
        <f t="shared" ca="1" si="383"/>
        <v>1E-4</v>
      </c>
      <c r="B879" s="304">
        <f t="shared" ca="1" si="384"/>
        <v>33.635900000001399</v>
      </c>
      <c r="D879" s="306">
        <f t="shared" ca="1" si="385"/>
        <v>-0.72880006233783179</v>
      </c>
      <c r="E879" s="307">
        <f t="shared" ca="1" si="386"/>
        <v>-2.4176549761225505</v>
      </c>
      <c r="F879" s="304">
        <f t="shared" ca="1" si="387"/>
        <v>2.5251148715323346</v>
      </c>
      <c r="G879" s="306">
        <f t="shared" ca="1" si="388"/>
        <v>11.868726072170237</v>
      </c>
      <c r="H879" s="307">
        <f t="shared" ca="1" si="389"/>
        <v>-120.38752136050525</v>
      </c>
      <c r="I879" s="304">
        <f t="shared" ca="1" si="390"/>
        <v>120.97116167873367</v>
      </c>
      <c r="J879" s="306">
        <f t="shared" ca="1" si="391"/>
        <v>755.70453742140728</v>
      </c>
      <c r="K879" s="307">
        <f t="shared" ca="1" si="392"/>
        <v>-6.7007128920182213</v>
      </c>
      <c r="L879" s="304">
        <f t="shared" ca="1" si="377"/>
        <v>755.73424391949072</v>
      </c>
      <c r="M879" s="306">
        <f t="shared" ca="1" si="393"/>
        <v>-1.4725262085466788</v>
      </c>
      <c r="N879" s="304">
        <f t="shared" ca="1" si="394"/>
        <v>-84.369536972125587</v>
      </c>
      <c r="P879" s="310">
        <f t="shared" ca="1" si="395"/>
        <v>23</v>
      </c>
      <c r="Q879" s="304">
        <f t="shared" ca="1" si="396"/>
        <v>0</v>
      </c>
      <c r="R879" s="306">
        <f t="shared" ca="1" si="397"/>
        <v>0</v>
      </c>
      <c r="S879" s="307">
        <f t="shared" ca="1" si="398"/>
        <v>7.9769999999999968</v>
      </c>
      <c r="T879" s="304">
        <f t="shared" ca="1" si="378"/>
        <v>78.254369999999966</v>
      </c>
      <c r="U879" s="311">
        <f t="shared" ca="1" si="379"/>
        <v>0</v>
      </c>
      <c r="V879" s="306">
        <f t="shared" ca="1" si="380"/>
        <v>1.2258211124312051</v>
      </c>
      <c r="W879" s="304">
        <f t="shared" ca="1" si="381"/>
        <v>59.254922161409198</v>
      </c>
      <c r="Y879" s="314" t="str">
        <f t="shared" ca="1" si="399"/>
        <v/>
      </c>
      <c r="Z879" s="315" t="str">
        <f t="shared" ca="1" si="400"/>
        <v/>
      </c>
      <c r="AA879" s="316" t="str">
        <f t="shared" ca="1" si="401"/>
        <v/>
      </c>
      <c r="AC879" s="310" t="e">
        <f t="shared" ca="1" si="402"/>
        <v>#N/A</v>
      </c>
      <c r="AD879" s="323" t="e">
        <f t="shared" ca="1" si="403"/>
        <v>#N/A</v>
      </c>
      <c r="AE879" s="324" t="e">
        <f t="shared" ca="1" si="382"/>
        <v>#N/A</v>
      </c>
      <c r="AG879" s="306">
        <f t="shared" ca="1" si="404"/>
        <v>2.3344858826025012</v>
      </c>
      <c r="AH879" s="304">
        <f t="shared" ca="1" si="405"/>
        <v>-7.4281837943678619</v>
      </c>
    </row>
    <row r="880" spans="1:34" x14ac:dyDescent="0.2">
      <c r="A880" s="347">
        <f t="shared" ca="1" si="383"/>
        <v>1E-4</v>
      </c>
      <c r="B880" s="304">
        <f t="shared" ca="1" si="384"/>
        <v>33.636000000001403</v>
      </c>
      <c r="D880" s="306">
        <f t="shared" ca="1" si="385"/>
        <v>-0.72879787096642623</v>
      </c>
      <c r="E880" s="307">
        <f t="shared" ca="1" si="386"/>
        <v>-2.4176169653801702</v>
      </c>
      <c r="F880" s="304">
        <f t="shared" ca="1" si="387"/>
        <v>2.5250778459325209</v>
      </c>
      <c r="G880" s="306">
        <f t="shared" ca="1" si="388"/>
        <v>11.868653192383141</v>
      </c>
      <c r="H880" s="307">
        <f t="shared" ca="1" si="389"/>
        <v>-120.38776312220179</v>
      </c>
      <c r="I880" s="304">
        <f t="shared" ca="1" si="390"/>
        <v>120.97139512367556</v>
      </c>
      <c r="J880" s="306">
        <f t="shared" ca="1" si="391"/>
        <v>755.70453742140728</v>
      </c>
      <c r="K880" s="307">
        <f t="shared" ca="1" si="392"/>
        <v>-6.7127516562423564</v>
      </c>
      <c r="L880" s="304">
        <f t="shared" ca="1" si="377"/>
        <v>755.7343507569982</v>
      </c>
      <c r="M880" s="306">
        <f t="shared" ca="1" si="393"/>
        <v>-1.4725270041719583</v>
      </c>
      <c r="N880" s="304">
        <f t="shared" ca="1" si="394"/>
        <v>-84.36958255809617</v>
      </c>
      <c r="P880" s="310">
        <f t="shared" ca="1" si="395"/>
        <v>23</v>
      </c>
      <c r="Q880" s="304">
        <f t="shared" ca="1" si="396"/>
        <v>0</v>
      </c>
      <c r="R880" s="306">
        <f t="shared" ca="1" si="397"/>
        <v>0</v>
      </c>
      <c r="S880" s="307">
        <f t="shared" ca="1" si="398"/>
        <v>7.9769999999999968</v>
      </c>
      <c r="T880" s="304">
        <f t="shared" ca="1" si="378"/>
        <v>78.254369999999966</v>
      </c>
      <c r="U880" s="311">
        <f t="shared" ca="1" si="379"/>
        <v>0</v>
      </c>
      <c r="V880" s="306">
        <f t="shared" ca="1" si="380"/>
        <v>1.2258225881693947</v>
      </c>
      <c r="W880" s="304">
        <f t="shared" ca="1" si="381"/>
        <v>59.255222192757437</v>
      </c>
      <c r="Y880" s="314" t="str">
        <f t="shared" ca="1" si="399"/>
        <v/>
      </c>
      <c r="Z880" s="315" t="str">
        <f t="shared" ca="1" si="400"/>
        <v/>
      </c>
      <c r="AA880" s="316" t="str">
        <f t="shared" ca="1" si="401"/>
        <v/>
      </c>
      <c r="AC880" s="310" t="e">
        <f t="shared" ca="1" si="402"/>
        <v>#N/A</v>
      </c>
      <c r="AD880" s="323" t="e">
        <f t="shared" ca="1" si="403"/>
        <v>#N/A</v>
      </c>
      <c r="AE880" s="324" t="e">
        <f t="shared" ca="1" si="382"/>
        <v>#N/A</v>
      </c>
      <c r="AG880" s="306">
        <f t="shared" ca="1" si="404"/>
        <v>2.3344490360332601</v>
      </c>
      <c r="AH880" s="304">
        <f t="shared" ca="1" si="405"/>
        <v>-7.4282214067204739</v>
      </c>
    </row>
    <row r="881" spans="1:34" x14ac:dyDescent="0.2">
      <c r="A881" s="347">
        <f t="shared" ca="1" si="383"/>
        <v>1E-4</v>
      </c>
      <c r="B881" s="304">
        <f t="shared" ca="1" si="384"/>
        <v>33.636100000001406</v>
      </c>
      <c r="D881" s="306">
        <f t="shared" ca="1" si="385"/>
        <v>-0.72879567956443414</v>
      </c>
      <c r="E881" s="307">
        <f t="shared" ca="1" si="386"/>
        <v>-2.4175789549403781</v>
      </c>
      <c r="F881" s="304">
        <f t="shared" ca="1" si="387"/>
        <v>2.5250408206447665</v>
      </c>
      <c r="G881" s="306">
        <f t="shared" ca="1" si="388"/>
        <v>11.868580312815185</v>
      </c>
      <c r="H881" s="307">
        <f t="shared" ca="1" si="389"/>
        <v>-120.38800488009728</v>
      </c>
      <c r="I881" s="304">
        <f t="shared" ca="1" si="390"/>
        <v>120.97162856493283</v>
      </c>
      <c r="J881" s="306">
        <f t="shared" ca="1" si="391"/>
        <v>755.70453742140728</v>
      </c>
      <c r="K881" s="307">
        <f t="shared" ca="1" si="392"/>
        <v>-6.7247904446424709</v>
      </c>
      <c r="L881" s="304">
        <f t="shared" ca="1" si="377"/>
        <v>755.7344577864817</v>
      </c>
      <c r="M881" s="306">
        <f t="shared" ca="1" si="393"/>
        <v>-1.4725277997892814</v>
      </c>
      <c r="N881" s="304">
        <f t="shared" ca="1" si="394"/>
        <v>-84.369628143610896</v>
      </c>
      <c r="P881" s="310">
        <f t="shared" ca="1" si="395"/>
        <v>23</v>
      </c>
      <c r="Q881" s="304">
        <f t="shared" ca="1" si="396"/>
        <v>0</v>
      </c>
      <c r="R881" s="306">
        <f t="shared" ca="1" si="397"/>
        <v>0</v>
      </c>
      <c r="S881" s="307">
        <f t="shared" ca="1" si="398"/>
        <v>7.9769999999999968</v>
      </c>
      <c r="T881" s="304">
        <f t="shared" ca="1" si="378"/>
        <v>78.254369999999966</v>
      </c>
      <c r="U881" s="311">
        <f t="shared" ca="1" si="379"/>
        <v>0</v>
      </c>
      <c r="V881" s="306">
        <f t="shared" ca="1" si="380"/>
        <v>1.2258240639123248</v>
      </c>
      <c r="W881" s="304">
        <f t="shared" ca="1" si="381"/>
        <v>59.255522221717101</v>
      </c>
      <c r="Y881" s="314" t="str">
        <f t="shared" ca="1" si="399"/>
        <v/>
      </c>
      <c r="Z881" s="315" t="str">
        <f t="shared" ca="1" si="400"/>
        <v/>
      </c>
      <c r="AA881" s="316" t="str">
        <f t="shared" ca="1" si="401"/>
        <v/>
      </c>
      <c r="AC881" s="310" t="e">
        <f t="shared" ca="1" si="402"/>
        <v>#N/A</v>
      </c>
      <c r="AD881" s="323" t="e">
        <f t="shared" ca="1" si="403"/>
        <v>#N/A</v>
      </c>
      <c r="AE881" s="324" t="e">
        <f t="shared" ca="1" si="382"/>
        <v>#N/A</v>
      </c>
      <c r="AG881" s="306">
        <f t="shared" ca="1" si="404"/>
        <v>2.334412189749612</v>
      </c>
      <c r="AH881" s="304">
        <f t="shared" ca="1" si="405"/>
        <v>-7.428259018773657</v>
      </c>
    </row>
    <row r="882" spans="1:34" x14ac:dyDescent="0.2">
      <c r="A882" s="347">
        <f t="shared" ca="1" si="383"/>
        <v>1E-4</v>
      </c>
      <c r="B882" s="304">
        <f t="shared" ca="1" si="384"/>
        <v>33.636200000001409</v>
      </c>
      <c r="D882" s="306">
        <f t="shared" ca="1" si="385"/>
        <v>-0.72879348813185818</v>
      </c>
      <c r="E882" s="307">
        <f t="shared" ca="1" si="386"/>
        <v>-2.417540944803183</v>
      </c>
      <c r="F882" s="304">
        <f t="shared" ca="1" si="387"/>
        <v>2.5250037956690812</v>
      </c>
      <c r="G882" s="306">
        <f t="shared" ca="1" si="388"/>
        <v>11.868507433466371</v>
      </c>
      <c r="H882" s="307">
        <f t="shared" ca="1" si="389"/>
        <v>-120.38824663419176</v>
      </c>
      <c r="I882" s="304">
        <f t="shared" ca="1" si="390"/>
        <v>120.97186200250549</v>
      </c>
      <c r="J882" s="306">
        <f t="shared" ca="1" si="391"/>
        <v>755.70453742140728</v>
      </c>
      <c r="K882" s="307">
        <f t="shared" ca="1" si="392"/>
        <v>-6.7368292572181856</v>
      </c>
      <c r="L882" s="304">
        <f t="shared" ca="1" si="377"/>
        <v>755.73456500794248</v>
      </c>
      <c r="M882" s="306">
        <f t="shared" ca="1" si="393"/>
        <v>-1.4725285953986484</v>
      </c>
      <c r="N882" s="304">
        <f t="shared" ca="1" si="394"/>
        <v>-84.369673728669767</v>
      </c>
      <c r="P882" s="310">
        <f t="shared" ca="1" si="395"/>
        <v>23</v>
      </c>
      <c r="Q882" s="304">
        <f t="shared" ca="1" si="396"/>
        <v>0</v>
      </c>
      <c r="R882" s="306">
        <f t="shared" ca="1" si="397"/>
        <v>0</v>
      </c>
      <c r="S882" s="307">
        <f t="shared" ca="1" si="398"/>
        <v>7.9769999999999968</v>
      </c>
      <c r="T882" s="304">
        <f t="shared" ca="1" si="378"/>
        <v>78.254369999999966</v>
      </c>
      <c r="U882" s="311">
        <f t="shared" ca="1" si="379"/>
        <v>0</v>
      </c>
      <c r="V882" s="306">
        <f t="shared" ca="1" si="380"/>
        <v>1.225825539659996</v>
      </c>
      <c r="W882" s="304">
        <f t="shared" ca="1" si="381"/>
        <v>59.25582224828824</v>
      </c>
      <c r="Y882" s="314" t="str">
        <f t="shared" ca="1" si="399"/>
        <v/>
      </c>
      <c r="Z882" s="315" t="str">
        <f t="shared" ca="1" si="400"/>
        <v/>
      </c>
      <c r="AA882" s="316" t="str">
        <f t="shared" ca="1" si="401"/>
        <v/>
      </c>
      <c r="AC882" s="310" t="e">
        <f t="shared" ca="1" si="402"/>
        <v>#N/A</v>
      </c>
      <c r="AD882" s="323" t="e">
        <f t="shared" ca="1" si="403"/>
        <v>#N/A</v>
      </c>
      <c r="AE882" s="324" t="e">
        <f t="shared" ca="1" si="382"/>
        <v>#N/A</v>
      </c>
      <c r="AG882" s="306">
        <f t="shared" ca="1" si="404"/>
        <v>2.3343753437515558</v>
      </c>
      <c r="AH882" s="304">
        <f t="shared" ca="1" si="405"/>
        <v>-7.4282966305274067</v>
      </c>
    </row>
    <row r="883" spans="1:34" x14ac:dyDescent="0.2">
      <c r="A883" s="347">
        <f t="shared" ca="1" si="383"/>
        <v>1E-4</v>
      </c>
      <c r="B883" s="304">
        <f t="shared" ca="1" si="384"/>
        <v>33.636300000001413</v>
      </c>
      <c r="D883" s="306">
        <f t="shared" ca="1" si="385"/>
        <v>-0.72879129666869946</v>
      </c>
      <c r="E883" s="307">
        <f t="shared" ca="1" si="386"/>
        <v>-2.4175029349685753</v>
      </c>
      <c r="F883" s="304">
        <f t="shared" ca="1" si="387"/>
        <v>2.5249667710054564</v>
      </c>
      <c r="G883" s="306">
        <f t="shared" ca="1" si="388"/>
        <v>11.868434554336705</v>
      </c>
      <c r="H883" s="307">
        <f t="shared" ca="1" si="389"/>
        <v>-120.38848838448526</v>
      </c>
      <c r="I883" s="304">
        <f t="shared" ca="1" si="390"/>
        <v>120.97209543639357</v>
      </c>
      <c r="J883" s="306">
        <f t="shared" ca="1" si="391"/>
        <v>755.70453742140728</v>
      </c>
      <c r="K883" s="307">
        <f t="shared" ca="1" si="392"/>
        <v>-6.7488680939691195</v>
      </c>
      <c r="L883" s="304">
        <f t="shared" ca="1" si="377"/>
        <v>755.73467242138156</v>
      </c>
      <c r="M883" s="306">
        <f t="shared" ca="1" si="393"/>
        <v>-1.4725293910000596</v>
      </c>
      <c r="N883" s="304">
        <f t="shared" ca="1" si="394"/>
        <v>-84.36971931327281</v>
      </c>
      <c r="P883" s="310">
        <f t="shared" ca="1" si="395"/>
        <v>23</v>
      </c>
      <c r="Q883" s="304">
        <f t="shared" ca="1" si="396"/>
        <v>0</v>
      </c>
      <c r="R883" s="306">
        <f t="shared" ca="1" si="397"/>
        <v>0</v>
      </c>
      <c r="S883" s="307">
        <f t="shared" ca="1" si="398"/>
        <v>7.9769999999999968</v>
      </c>
      <c r="T883" s="304">
        <f t="shared" ca="1" si="378"/>
        <v>78.254369999999966</v>
      </c>
      <c r="U883" s="311">
        <f t="shared" ca="1" si="379"/>
        <v>0</v>
      </c>
      <c r="V883" s="306">
        <f t="shared" ca="1" si="380"/>
        <v>1.2258270154124076</v>
      </c>
      <c r="W883" s="304">
        <f t="shared" ca="1" si="381"/>
        <v>59.25612227247079</v>
      </c>
      <c r="Y883" s="314" t="str">
        <f t="shared" ca="1" si="399"/>
        <v/>
      </c>
      <c r="Z883" s="315" t="str">
        <f t="shared" ca="1" si="400"/>
        <v/>
      </c>
      <c r="AA883" s="316" t="str">
        <f t="shared" ca="1" si="401"/>
        <v/>
      </c>
      <c r="AC883" s="310" t="e">
        <f t="shared" ca="1" si="402"/>
        <v>#N/A</v>
      </c>
      <c r="AD883" s="323" t="e">
        <f t="shared" ca="1" si="403"/>
        <v>#N/A</v>
      </c>
      <c r="AE883" s="324" t="e">
        <f t="shared" ca="1" si="382"/>
        <v>#N/A</v>
      </c>
      <c r="AG883" s="306">
        <f t="shared" ca="1" si="404"/>
        <v>2.3343384980390915</v>
      </c>
      <c r="AH883" s="304">
        <f t="shared" ca="1" si="405"/>
        <v>-7.4283342419817302</v>
      </c>
    </row>
    <row r="884" spans="1:34" x14ac:dyDescent="0.2">
      <c r="A884" s="347">
        <f t="shared" ca="1" si="383"/>
        <v>1E-4</v>
      </c>
      <c r="B884" s="304">
        <f t="shared" ca="1" si="384"/>
        <v>33.636400000001416</v>
      </c>
      <c r="D884" s="306">
        <f t="shared" ca="1" si="385"/>
        <v>-0.72878910517495676</v>
      </c>
      <c r="E884" s="307">
        <f t="shared" ca="1" si="386"/>
        <v>-2.4174649254365619</v>
      </c>
      <c r="F884" s="304">
        <f t="shared" ca="1" si="387"/>
        <v>2.5249297466538976</v>
      </c>
      <c r="G884" s="306">
        <f t="shared" ca="1" si="388"/>
        <v>11.868361675426188</v>
      </c>
      <c r="H884" s="307">
        <f t="shared" ca="1" si="389"/>
        <v>-120.38873013097781</v>
      </c>
      <c r="I884" s="304">
        <f t="shared" ca="1" si="390"/>
        <v>120.97232886659712</v>
      </c>
      <c r="J884" s="306">
        <f t="shared" ca="1" si="391"/>
        <v>755.70453742140728</v>
      </c>
      <c r="K884" s="307">
        <f t="shared" ca="1" si="392"/>
        <v>-6.7609069548948924</v>
      </c>
      <c r="L884" s="304">
        <f t="shared" ca="1" si="377"/>
        <v>755.73478002680008</v>
      </c>
      <c r="M884" s="306">
        <f t="shared" ca="1" si="393"/>
        <v>-1.4725301865935148</v>
      </c>
      <c r="N884" s="304">
        <f t="shared" ca="1" si="394"/>
        <v>-84.369764897419998</v>
      </c>
      <c r="P884" s="310">
        <f t="shared" ca="1" si="395"/>
        <v>23</v>
      </c>
      <c r="Q884" s="304">
        <f t="shared" ca="1" si="396"/>
        <v>0</v>
      </c>
      <c r="R884" s="306">
        <f t="shared" ca="1" si="397"/>
        <v>0</v>
      </c>
      <c r="S884" s="307">
        <f t="shared" ca="1" si="398"/>
        <v>7.9769999999999968</v>
      </c>
      <c r="T884" s="304">
        <f t="shared" ca="1" si="378"/>
        <v>78.254369999999966</v>
      </c>
      <c r="U884" s="311">
        <f t="shared" ca="1" si="379"/>
        <v>0</v>
      </c>
      <c r="V884" s="306">
        <f t="shared" ca="1" si="380"/>
        <v>1.2258284911695605</v>
      </c>
      <c r="W884" s="304">
        <f t="shared" ca="1" si="381"/>
        <v>59.25642229426483</v>
      </c>
      <c r="Y884" s="314" t="str">
        <f t="shared" ca="1" si="399"/>
        <v/>
      </c>
      <c r="Z884" s="315" t="str">
        <f t="shared" ca="1" si="400"/>
        <v/>
      </c>
      <c r="AA884" s="316" t="str">
        <f t="shared" ca="1" si="401"/>
        <v/>
      </c>
      <c r="AC884" s="310" t="e">
        <f t="shared" ca="1" si="402"/>
        <v>#N/A</v>
      </c>
      <c r="AD884" s="323" t="e">
        <f t="shared" ca="1" si="403"/>
        <v>#N/A</v>
      </c>
      <c r="AE884" s="324" t="e">
        <f t="shared" ca="1" si="382"/>
        <v>#N/A</v>
      </c>
      <c r="AG884" s="306">
        <f t="shared" ca="1" si="404"/>
        <v>2.3343016526122256</v>
      </c>
      <c r="AH884" s="304">
        <f t="shared" ca="1" si="405"/>
        <v>-7.4283718531366194</v>
      </c>
    </row>
    <row r="885" spans="1:34" x14ac:dyDescent="0.2">
      <c r="A885" s="347">
        <f t="shared" ca="1" si="383"/>
        <v>1E-4</v>
      </c>
      <c r="B885" s="304">
        <f t="shared" ca="1" si="384"/>
        <v>33.636500000001419</v>
      </c>
      <c r="D885" s="306">
        <f t="shared" ca="1" si="385"/>
        <v>-0.72878691365063453</v>
      </c>
      <c r="E885" s="307">
        <f t="shared" ca="1" si="386"/>
        <v>-2.4174269162071358</v>
      </c>
      <c r="F885" s="304">
        <f t="shared" ca="1" si="387"/>
        <v>2.5248927226144002</v>
      </c>
      <c r="G885" s="306">
        <f t="shared" ca="1" si="388"/>
        <v>11.868288796734824</v>
      </c>
      <c r="H885" s="307">
        <f t="shared" ca="1" si="389"/>
        <v>-120.38897187366942</v>
      </c>
      <c r="I885" s="304">
        <f t="shared" ca="1" si="390"/>
        <v>120.97256229311616</v>
      </c>
      <c r="J885" s="306">
        <f t="shared" ca="1" si="391"/>
        <v>755.70453742140728</v>
      </c>
      <c r="K885" s="307">
        <f t="shared" ca="1" si="392"/>
        <v>-6.772945839995125</v>
      </c>
      <c r="L885" s="304">
        <f t="shared" ca="1" si="377"/>
        <v>755.73488782419906</v>
      </c>
      <c r="M885" s="306">
        <f t="shared" ca="1" si="393"/>
        <v>-1.4725309821790142</v>
      </c>
      <c r="N885" s="304">
        <f t="shared" ca="1" si="394"/>
        <v>-84.369810481111358</v>
      </c>
      <c r="P885" s="310">
        <f t="shared" ca="1" si="395"/>
        <v>23</v>
      </c>
      <c r="Q885" s="304">
        <f t="shared" ca="1" si="396"/>
        <v>0</v>
      </c>
      <c r="R885" s="306">
        <f t="shared" ca="1" si="397"/>
        <v>0</v>
      </c>
      <c r="S885" s="307">
        <f t="shared" ca="1" si="398"/>
        <v>7.9769999999999968</v>
      </c>
      <c r="T885" s="304">
        <f t="shared" ca="1" si="378"/>
        <v>78.254369999999966</v>
      </c>
      <c r="U885" s="311">
        <f t="shared" ca="1" si="379"/>
        <v>0</v>
      </c>
      <c r="V885" s="306">
        <f t="shared" ca="1" si="380"/>
        <v>1.2258299669314534</v>
      </c>
      <c r="W885" s="304">
        <f t="shared" ca="1" si="381"/>
        <v>59.256722313670274</v>
      </c>
      <c r="Y885" s="314" t="str">
        <f t="shared" ca="1" si="399"/>
        <v/>
      </c>
      <c r="Z885" s="315" t="str">
        <f t="shared" ca="1" si="400"/>
        <v/>
      </c>
      <c r="AA885" s="316" t="str">
        <f t="shared" ca="1" si="401"/>
        <v/>
      </c>
      <c r="AC885" s="310" t="e">
        <f t="shared" ca="1" si="402"/>
        <v>#N/A</v>
      </c>
      <c r="AD885" s="323" t="e">
        <f t="shared" ca="1" si="403"/>
        <v>#N/A</v>
      </c>
      <c r="AE885" s="324" t="e">
        <f t="shared" ca="1" si="382"/>
        <v>#N/A</v>
      </c>
      <c r="AG885" s="306">
        <f t="shared" ca="1" si="404"/>
        <v>2.3342648074709462</v>
      </c>
      <c r="AH885" s="304">
        <f t="shared" ca="1" si="405"/>
        <v>-7.4284094639920841</v>
      </c>
    </row>
    <row r="886" spans="1:34" x14ac:dyDescent="0.2">
      <c r="A886" s="347">
        <f t="shared" ca="1" si="383"/>
        <v>1E-4</v>
      </c>
      <c r="B886" s="304">
        <f t="shared" ca="1" si="384"/>
        <v>33.636600000001422</v>
      </c>
      <c r="D886" s="306">
        <f t="shared" ca="1" si="385"/>
        <v>-0.72878472209572975</v>
      </c>
      <c r="E886" s="307">
        <f t="shared" ca="1" si="386"/>
        <v>-2.4173889072803068</v>
      </c>
      <c r="F886" s="304">
        <f t="shared" ca="1" si="387"/>
        <v>2.5248556988869733</v>
      </c>
      <c r="G886" s="306">
        <f t="shared" ca="1" si="388"/>
        <v>11.868215918262614</v>
      </c>
      <c r="H886" s="307">
        <f t="shared" ca="1" si="389"/>
        <v>-120.38921361256014</v>
      </c>
      <c r="I886" s="304">
        <f t="shared" ca="1" si="390"/>
        <v>120.97279571595068</v>
      </c>
      <c r="J886" s="306">
        <f t="shared" ca="1" si="391"/>
        <v>755.70453742140728</v>
      </c>
      <c r="K886" s="307">
        <f t="shared" ca="1" si="392"/>
        <v>-6.7849847492694364</v>
      </c>
      <c r="L886" s="304">
        <f t="shared" ca="1" si="377"/>
        <v>755.73499581357953</v>
      </c>
      <c r="M886" s="306">
        <f t="shared" ca="1" si="393"/>
        <v>-1.4725317777565583</v>
      </c>
      <c r="N886" s="304">
        <f t="shared" ca="1" si="394"/>
        <v>-84.369856064346905</v>
      </c>
      <c r="P886" s="310">
        <f t="shared" ca="1" si="395"/>
        <v>23</v>
      </c>
      <c r="Q886" s="304">
        <f t="shared" ca="1" si="396"/>
        <v>0</v>
      </c>
      <c r="R886" s="306">
        <f t="shared" ca="1" si="397"/>
        <v>0</v>
      </c>
      <c r="S886" s="307">
        <f t="shared" ca="1" si="398"/>
        <v>7.9769999999999968</v>
      </c>
      <c r="T886" s="304">
        <f t="shared" ca="1" si="378"/>
        <v>78.254369999999966</v>
      </c>
      <c r="U886" s="311">
        <f t="shared" ca="1" si="379"/>
        <v>0</v>
      </c>
      <c r="V886" s="306">
        <f t="shared" ca="1" si="380"/>
        <v>1.225831442698087</v>
      </c>
      <c r="W886" s="304">
        <f t="shared" ca="1" si="381"/>
        <v>59.257022330687136</v>
      </c>
      <c r="Y886" s="314" t="str">
        <f t="shared" ca="1" si="399"/>
        <v/>
      </c>
      <c r="Z886" s="315" t="str">
        <f t="shared" ca="1" si="400"/>
        <v/>
      </c>
      <c r="AA886" s="316" t="str">
        <f t="shared" ca="1" si="401"/>
        <v/>
      </c>
      <c r="AC886" s="310" t="e">
        <f t="shared" ca="1" si="402"/>
        <v>#N/A</v>
      </c>
      <c r="AD886" s="323" t="e">
        <f t="shared" ca="1" si="403"/>
        <v>#N/A</v>
      </c>
      <c r="AE886" s="324" t="e">
        <f t="shared" ca="1" si="382"/>
        <v>#N/A</v>
      </c>
      <c r="AG886" s="306">
        <f t="shared" ca="1" si="404"/>
        <v>2.3342279626152669</v>
      </c>
      <c r="AH886" s="304">
        <f t="shared" ca="1" si="405"/>
        <v>-7.4284470745481128</v>
      </c>
    </row>
    <row r="887" spans="1:34" x14ac:dyDescent="0.2">
      <c r="A887" s="347">
        <f t="shared" ca="1" si="383"/>
        <v>1E-4</v>
      </c>
      <c r="B887" s="304">
        <f t="shared" ca="1" si="384"/>
        <v>33.636700000001426</v>
      </c>
      <c r="D887" s="306">
        <f t="shared" ca="1" si="385"/>
        <v>-0.72878253051024289</v>
      </c>
      <c r="E887" s="307">
        <f t="shared" ca="1" si="386"/>
        <v>-2.4173508986560721</v>
      </c>
      <c r="F887" s="304">
        <f t="shared" ca="1" si="387"/>
        <v>2.5248186754716135</v>
      </c>
      <c r="G887" s="306">
        <f t="shared" ca="1" si="388"/>
        <v>11.868143040009562</v>
      </c>
      <c r="H887" s="307">
        <f t="shared" ca="1" si="389"/>
        <v>-120.38945534765001</v>
      </c>
      <c r="I887" s="304">
        <f t="shared" ca="1" si="390"/>
        <v>120.97302913510079</v>
      </c>
      <c r="J887" s="306">
        <f t="shared" ca="1" si="391"/>
        <v>755.70453742140728</v>
      </c>
      <c r="K887" s="307">
        <f t="shared" ca="1" si="392"/>
        <v>-6.7970236827174473</v>
      </c>
      <c r="L887" s="304">
        <f t="shared" ca="1" si="377"/>
        <v>755.73510399494251</v>
      </c>
      <c r="M887" s="306">
        <f t="shared" ca="1" si="393"/>
        <v>-1.4725325733261467</v>
      </c>
      <c r="N887" s="304">
        <f t="shared" ca="1" si="394"/>
        <v>-84.369901647126625</v>
      </c>
      <c r="P887" s="310">
        <f t="shared" ca="1" si="395"/>
        <v>23</v>
      </c>
      <c r="Q887" s="304">
        <f t="shared" ca="1" si="396"/>
        <v>0</v>
      </c>
      <c r="R887" s="306">
        <f t="shared" ca="1" si="397"/>
        <v>0</v>
      </c>
      <c r="S887" s="307">
        <f t="shared" ca="1" si="398"/>
        <v>7.9769999999999968</v>
      </c>
      <c r="T887" s="304">
        <f t="shared" ca="1" si="378"/>
        <v>78.254369999999966</v>
      </c>
      <c r="U887" s="311">
        <f t="shared" ca="1" si="379"/>
        <v>0</v>
      </c>
      <c r="V887" s="306">
        <f t="shared" ca="1" si="380"/>
        <v>1.225832918469461</v>
      </c>
      <c r="W887" s="304">
        <f t="shared" ca="1" si="381"/>
        <v>59.257322345315465</v>
      </c>
      <c r="Y887" s="314" t="str">
        <f t="shared" ca="1" si="399"/>
        <v/>
      </c>
      <c r="Z887" s="315" t="str">
        <f t="shared" ca="1" si="400"/>
        <v/>
      </c>
      <c r="AA887" s="316" t="str">
        <f t="shared" ca="1" si="401"/>
        <v/>
      </c>
      <c r="AC887" s="310" t="e">
        <f t="shared" ca="1" si="402"/>
        <v>#N/A</v>
      </c>
      <c r="AD887" s="323" t="e">
        <f t="shared" ca="1" si="403"/>
        <v>#N/A</v>
      </c>
      <c r="AE887" s="324" t="e">
        <f t="shared" ca="1" si="382"/>
        <v>#N/A</v>
      </c>
      <c r="AG887" s="306">
        <f t="shared" ca="1" si="404"/>
        <v>2.3341911180451849</v>
      </c>
      <c r="AH887" s="304">
        <f t="shared" ca="1" si="405"/>
        <v>-7.4284846848047081</v>
      </c>
    </row>
    <row r="888" spans="1:34" x14ac:dyDescent="0.2">
      <c r="A888" s="347">
        <f t="shared" ca="1" si="383"/>
        <v>1E-4</v>
      </c>
      <c r="B888" s="304">
        <f t="shared" ca="1" si="384"/>
        <v>33.636800000001429</v>
      </c>
      <c r="D888" s="306">
        <f t="shared" ca="1" si="385"/>
        <v>-0.7287803388941777</v>
      </c>
      <c r="E888" s="307">
        <f t="shared" ca="1" si="386"/>
        <v>-2.4173128903344265</v>
      </c>
      <c r="F888" s="304">
        <f t="shared" ca="1" si="387"/>
        <v>2.5247816523683175</v>
      </c>
      <c r="G888" s="306">
        <f t="shared" ca="1" si="388"/>
        <v>11.868070161975673</v>
      </c>
      <c r="H888" s="307">
        <f t="shared" ca="1" si="389"/>
        <v>-120.38969707893905</v>
      </c>
      <c r="I888" s="304">
        <f t="shared" ca="1" si="390"/>
        <v>120.97326255056645</v>
      </c>
      <c r="J888" s="306">
        <f t="shared" ca="1" si="391"/>
        <v>755.70453742140728</v>
      </c>
      <c r="K888" s="307">
        <f t="shared" ca="1" si="392"/>
        <v>-6.8090626403387766</v>
      </c>
      <c r="L888" s="304">
        <f t="shared" ca="1" si="377"/>
        <v>755.73521236828924</v>
      </c>
      <c r="M888" s="306">
        <f t="shared" ca="1" si="393"/>
        <v>-1.4725333688877797</v>
      </c>
      <c r="N888" s="304">
        <f t="shared" ca="1" si="394"/>
        <v>-84.369947229450545</v>
      </c>
      <c r="P888" s="310">
        <f t="shared" ca="1" si="395"/>
        <v>23</v>
      </c>
      <c r="Q888" s="304">
        <f t="shared" ca="1" si="396"/>
        <v>0</v>
      </c>
      <c r="R888" s="306">
        <f t="shared" ca="1" si="397"/>
        <v>0</v>
      </c>
      <c r="S888" s="307">
        <f t="shared" ca="1" si="398"/>
        <v>7.9769999999999968</v>
      </c>
      <c r="T888" s="304">
        <f t="shared" ca="1" si="378"/>
        <v>78.254369999999966</v>
      </c>
      <c r="U888" s="311">
        <f t="shared" ca="1" si="379"/>
        <v>0</v>
      </c>
      <c r="V888" s="306">
        <f t="shared" ca="1" si="380"/>
        <v>1.2258343942455761</v>
      </c>
      <c r="W888" s="304">
        <f t="shared" ca="1" si="381"/>
        <v>59.257622357555235</v>
      </c>
      <c r="Y888" s="314" t="str">
        <f t="shared" ca="1" si="399"/>
        <v/>
      </c>
      <c r="Z888" s="315" t="str">
        <f t="shared" ca="1" si="400"/>
        <v/>
      </c>
      <c r="AA888" s="316" t="str">
        <f t="shared" ca="1" si="401"/>
        <v/>
      </c>
      <c r="AC888" s="310" t="e">
        <f t="shared" ca="1" si="402"/>
        <v>#N/A</v>
      </c>
      <c r="AD888" s="323" t="e">
        <f t="shared" ca="1" si="403"/>
        <v>#N/A</v>
      </c>
      <c r="AE888" s="324" t="e">
        <f t="shared" ca="1" si="382"/>
        <v>#N/A</v>
      </c>
      <c r="AG888" s="306">
        <f t="shared" ca="1" si="404"/>
        <v>2.3341542737606922</v>
      </c>
      <c r="AH888" s="304">
        <f t="shared" ca="1" si="405"/>
        <v>-7.4285222947618763</v>
      </c>
    </row>
    <row r="889" spans="1:34" x14ac:dyDescent="0.2">
      <c r="A889" s="347">
        <f t="shared" ca="1" si="383"/>
        <v>1E-4</v>
      </c>
      <c r="B889" s="304">
        <f t="shared" ca="1" si="384"/>
        <v>33.636900000001432</v>
      </c>
      <c r="D889" s="306">
        <f t="shared" ca="1" si="385"/>
        <v>-0.72877814724753387</v>
      </c>
      <c r="E889" s="307">
        <f t="shared" ca="1" si="386"/>
        <v>-2.4172748823153727</v>
      </c>
      <c r="F889" s="304">
        <f t="shared" ca="1" si="387"/>
        <v>2.5247446295770879</v>
      </c>
      <c r="G889" s="306">
        <f t="shared" ca="1" si="388"/>
        <v>11.867997284160948</v>
      </c>
      <c r="H889" s="307">
        <f t="shared" ca="1" si="389"/>
        <v>-120.38993880642728</v>
      </c>
      <c r="I889" s="304">
        <f t="shared" ca="1" si="390"/>
        <v>120.9734959623477</v>
      </c>
      <c r="J889" s="306">
        <f t="shared" ca="1" si="391"/>
        <v>755.70453742140728</v>
      </c>
      <c r="K889" s="307">
        <f t="shared" ca="1" si="392"/>
        <v>-6.8211016221330452</v>
      </c>
      <c r="L889" s="304">
        <f t="shared" ca="1" si="377"/>
        <v>755.73532093362064</v>
      </c>
      <c r="M889" s="306">
        <f t="shared" ca="1" si="393"/>
        <v>-1.4725341644414576</v>
      </c>
      <c r="N889" s="304">
        <f t="shared" ca="1" si="394"/>
        <v>-84.369992811318667</v>
      </c>
      <c r="P889" s="310">
        <f t="shared" ca="1" si="395"/>
        <v>23</v>
      </c>
      <c r="Q889" s="304">
        <f t="shared" ca="1" si="396"/>
        <v>0</v>
      </c>
      <c r="R889" s="306">
        <f t="shared" ca="1" si="397"/>
        <v>0</v>
      </c>
      <c r="S889" s="307">
        <f t="shared" ca="1" si="398"/>
        <v>7.9769999999999968</v>
      </c>
      <c r="T889" s="304">
        <f t="shared" ca="1" si="378"/>
        <v>78.254369999999966</v>
      </c>
      <c r="U889" s="311">
        <f t="shared" ca="1" si="379"/>
        <v>0</v>
      </c>
      <c r="V889" s="306">
        <f t="shared" ca="1" si="380"/>
        <v>1.2258358700264309</v>
      </c>
      <c r="W889" s="304">
        <f t="shared" ca="1" si="381"/>
        <v>59.25792236740638</v>
      </c>
      <c r="Y889" s="314" t="str">
        <f t="shared" ca="1" si="399"/>
        <v/>
      </c>
      <c r="Z889" s="315" t="str">
        <f t="shared" ca="1" si="400"/>
        <v/>
      </c>
      <c r="AA889" s="316" t="str">
        <f t="shared" ca="1" si="401"/>
        <v/>
      </c>
      <c r="AC889" s="310" t="e">
        <f t="shared" ca="1" si="402"/>
        <v>#N/A</v>
      </c>
      <c r="AD889" s="323" t="e">
        <f t="shared" ca="1" si="403"/>
        <v>#N/A</v>
      </c>
      <c r="AE889" s="324" t="e">
        <f t="shared" ca="1" si="382"/>
        <v>#N/A</v>
      </c>
      <c r="AG889" s="306">
        <f t="shared" ca="1" si="404"/>
        <v>2.3341174297617977</v>
      </c>
      <c r="AH889" s="304">
        <f t="shared" ca="1" si="405"/>
        <v>-7.4285599044196138</v>
      </c>
    </row>
    <row r="890" spans="1:34" x14ac:dyDescent="0.2">
      <c r="A890" s="347">
        <f t="shared" ca="1" si="383"/>
        <v>1E-4</v>
      </c>
      <c r="B890" s="304">
        <f t="shared" ca="1" si="384"/>
        <v>33.637000000001436</v>
      </c>
      <c r="D890" s="306">
        <f t="shared" ca="1" si="385"/>
        <v>-0.72877595557031027</v>
      </c>
      <c r="E890" s="307">
        <f t="shared" ca="1" si="386"/>
        <v>-2.4172368745989203</v>
      </c>
      <c r="F890" s="304">
        <f t="shared" ca="1" si="387"/>
        <v>2.524707607097934</v>
      </c>
      <c r="G890" s="306">
        <f t="shared" ca="1" si="388"/>
        <v>11.867924406565391</v>
      </c>
      <c r="H890" s="307">
        <f t="shared" ca="1" si="389"/>
        <v>-120.39018053011475</v>
      </c>
      <c r="I890" s="304">
        <f t="shared" ca="1" si="390"/>
        <v>120.9737293704446</v>
      </c>
      <c r="J890" s="306">
        <f t="shared" ca="1" si="391"/>
        <v>755.70453742140728</v>
      </c>
      <c r="K890" s="307">
        <f t="shared" ca="1" si="392"/>
        <v>-6.8331406280998719</v>
      </c>
      <c r="L890" s="304">
        <f t="shared" ca="1" si="377"/>
        <v>755.73542969093796</v>
      </c>
      <c r="M890" s="306">
        <f t="shared" ca="1" si="393"/>
        <v>-1.4725349599871802</v>
      </c>
      <c r="N890" s="304">
        <f t="shared" ca="1" si="394"/>
        <v>-84.370038392730976</v>
      </c>
      <c r="P890" s="310">
        <f t="shared" ca="1" si="395"/>
        <v>23</v>
      </c>
      <c r="Q890" s="304">
        <f t="shared" ca="1" si="396"/>
        <v>0</v>
      </c>
      <c r="R890" s="306">
        <f t="shared" ca="1" si="397"/>
        <v>0</v>
      </c>
      <c r="S890" s="307">
        <f t="shared" ca="1" si="398"/>
        <v>7.9769999999999968</v>
      </c>
      <c r="T890" s="304">
        <f t="shared" ca="1" si="378"/>
        <v>78.254369999999966</v>
      </c>
      <c r="U890" s="311">
        <f t="shared" ca="1" si="379"/>
        <v>0</v>
      </c>
      <c r="V890" s="306">
        <f t="shared" ca="1" si="380"/>
        <v>1.2258373458120266</v>
      </c>
      <c r="W890" s="304">
        <f t="shared" ca="1" si="381"/>
        <v>59.258222374868993</v>
      </c>
      <c r="Y890" s="314" t="str">
        <f t="shared" ca="1" si="399"/>
        <v/>
      </c>
      <c r="Z890" s="315" t="str">
        <f t="shared" ca="1" si="400"/>
        <v/>
      </c>
      <c r="AA890" s="316" t="str">
        <f t="shared" ca="1" si="401"/>
        <v/>
      </c>
      <c r="AC890" s="310" t="e">
        <f t="shared" ca="1" si="402"/>
        <v>#N/A</v>
      </c>
      <c r="AD890" s="323" t="e">
        <f t="shared" ca="1" si="403"/>
        <v>#N/A</v>
      </c>
      <c r="AE890" s="324" t="e">
        <f t="shared" ca="1" si="382"/>
        <v>#N/A</v>
      </c>
      <c r="AG890" s="306">
        <f t="shared" ca="1" si="404"/>
        <v>2.3340805860485068</v>
      </c>
      <c r="AH890" s="304">
        <f t="shared" ca="1" si="405"/>
        <v>-7.4285975137779117</v>
      </c>
    </row>
    <row r="891" spans="1:34" x14ac:dyDescent="0.2">
      <c r="A891" s="347">
        <f t="shared" ca="1" si="383"/>
        <v>1E-4</v>
      </c>
      <c r="B891" s="304">
        <f t="shared" ca="1" si="384"/>
        <v>33.637100000001439</v>
      </c>
      <c r="D891" s="306">
        <f t="shared" ca="1" si="385"/>
        <v>-0.72877376386251014</v>
      </c>
      <c r="E891" s="307">
        <f t="shared" ca="1" si="386"/>
        <v>-2.4171988671850553</v>
      </c>
      <c r="F891" s="304">
        <f t="shared" ca="1" si="387"/>
        <v>2.5246705849308428</v>
      </c>
      <c r="G891" s="306">
        <f t="shared" ca="1" si="388"/>
        <v>11.867851529189005</v>
      </c>
      <c r="H891" s="307">
        <f t="shared" ca="1" si="389"/>
        <v>-120.39042225000146</v>
      </c>
      <c r="I891" s="304">
        <f t="shared" ca="1" si="390"/>
        <v>120.97396277485714</v>
      </c>
      <c r="J891" s="306">
        <f t="shared" ca="1" si="391"/>
        <v>755.70453742140728</v>
      </c>
      <c r="K891" s="307">
        <f t="shared" ca="1" si="392"/>
        <v>-6.8451796582388775</v>
      </c>
      <c r="L891" s="304">
        <f t="shared" ca="1" si="377"/>
        <v>755.735538640242</v>
      </c>
      <c r="M891" s="306">
        <f t="shared" ca="1" si="393"/>
        <v>-1.4725357555249479</v>
      </c>
      <c r="N891" s="304">
        <f t="shared" ca="1" si="394"/>
        <v>-84.370083973687514</v>
      </c>
      <c r="P891" s="310">
        <f t="shared" ca="1" si="395"/>
        <v>23</v>
      </c>
      <c r="Q891" s="304">
        <f t="shared" ca="1" si="396"/>
        <v>0</v>
      </c>
      <c r="R891" s="306">
        <f t="shared" ca="1" si="397"/>
        <v>0</v>
      </c>
      <c r="S891" s="307">
        <f t="shared" ca="1" si="398"/>
        <v>7.9769999999999968</v>
      </c>
      <c r="T891" s="304">
        <f t="shared" ca="1" si="378"/>
        <v>78.254369999999966</v>
      </c>
      <c r="U891" s="311">
        <f t="shared" ca="1" si="379"/>
        <v>0</v>
      </c>
      <c r="V891" s="306">
        <f t="shared" ca="1" si="380"/>
        <v>1.2258388216023628</v>
      </c>
      <c r="W891" s="304">
        <f t="shared" ca="1" si="381"/>
        <v>59.258522379943017</v>
      </c>
      <c r="Y891" s="314" t="str">
        <f t="shared" ca="1" si="399"/>
        <v/>
      </c>
      <c r="Z891" s="315" t="str">
        <f t="shared" ca="1" si="400"/>
        <v/>
      </c>
      <c r="AA891" s="316" t="str">
        <f t="shared" ca="1" si="401"/>
        <v/>
      </c>
      <c r="AC891" s="310" t="e">
        <f t="shared" ca="1" si="402"/>
        <v>#N/A</v>
      </c>
      <c r="AD891" s="323" t="e">
        <f t="shared" ca="1" si="403"/>
        <v>#N/A</v>
      </c>
      <c r="AE891" s="324" t="e">
        <f t="shared" ca="1" si="382"/>
        <v>#N/A</v>
      </c>
      <c r="AG891" s="306">
        <f t="shared" ca="1" si="404"/>
        <v>2.3340437426208078</v>
      </c>
      <c r="AH891" s="304">
        <f t="shared" ca="1" si="405"/>
        <v>-7.4286351228367833</v>
      </c>
    </row>
    <row r="892" spans="1:34" x14ac:dyDescent="0.2">
      <c r="A892" s="347">
        <f t="shared" ca="1" si="383"/>
        <v>1E-4</v>
      </c>
      <c r="B892" s="304">
        <f t="shared" ca="1" si="384"/>
        <v>33.637200000001442</v>
      </c>
      <c r="D892" s="306">
        <f t="shared" ca="1" si="385"/>
        <v>-0.72877157212413235</v>
      </c>
      <c r="E892" s="307">
        <f t="shared" ca="1" si="386"/>
        <v>-2.4171608600737873</v>
      </c>
      <c r="F892" s="304">
        <f t="shared" ca="1" si="387"/>
        <v>2.5246335630758239</v>
      </c>
      <c r="G892" s="306">
        <f t="shared" ca="1" si="388"/>
        <v>11.867778652031793</v>
      </c>
      <c r="H892" s="307">
        <f t="shared" ca="1" si="389"/>
        <v>-120.39066396608747</v>
      </c>
      <c r="I892" s="304">
        <f t="shared" ca="1" si="390"/>
        <v>120.97419617558538</v>
      </c>
      <c r="J892" s="306">
        <f t="shared" ca="1" si="391"/>
        <v>755.70453742140728</v>
      </c>
      <c r="K892" s="307">
        <f t="shared" ca="1" si="392"/>
        <v>-6.857218712549682</v>
      </c>
      <c r="L892" s="304">
        <f t="shared" ca="1" si="377"/>
        <v>755.735647781534</v>
      </c>
      <c r="M892" s="306">
        <f t="shared" ca="1" si="393"/>
        <v>-1.4725365510547608</v>
      </c>
      <c r="N892" s="304">
        <f t="shared" ca="1" si="394"/>
        <v>-84.370129554188267</v>
      </c>
      <c r="P892" s="310">
        <f t="shared" ca="1" si="395"/>
        <v>23</v>
      </c>
      <c r="Q892" s="304">
        <f t="shared" ca="1" si="396"/>
        <v>0</v>
      </c>
      <c r="R892" s="306">
        <f t="shared" ca="1" si="397"/>
        <v>0</v>
      </c>
      <c r="S892" s="307">
        <f t="shared" ca="1" si="398"/>
        <v>7.9769999999999968</v>
      </c>
      <c r="T892" s="304">
        <f t="shared" ca="1" si="378"/>
        <v>78.254369999999966</v>
      </c>
      <c r="U892" s="311">
        <f t="shared" ca="1" si="379"/>
        <v>0</v>
      </c>
      <c r="V892" s="306">
        <f t="shared" ca="1" si="380"/>
        <v>1.2258402973974394</v>
      </c>
      <c r="W892" s="304">
        <f t="shared" ca="1" si="381"/>
        <v>59.258822382628445</v>
      </c>
      <c r="Y892" s="314" t="str">
        <f t="shared" ca="1" si="399"/>
        <v/>
      </c>
      <c r="Z892" s="315" t="str">
        <f t="shared" ca="1" si="400"/>
        <v/>
      </c>
      <c r="AA892" s="316" t="str">
        <f t="shared" ca="1" si="401"/>
        <v/>
      </c>
      <c r="AC892" s="310" t="e">
        <f t="shared" ca="1" si="402"/>
        <v>#N/A</v>
      </c>
      <c r="AD892" s="323" t="e">
        <f t="shared" ca="1" si="403"/>
        <v>#N/A</v>
      </c>
      <c r="AE892" s="324" t="e">
        <f t="shared" ca="1" si="382"/>
        <v>#N/A</v>
      </c>
      <c r="AG892" s="306">
        <f t="shared" ca="1" si="404"/>
        <v>2.3340068994787089</v>
      </c>
      <c r="AH892" s="304">
        <f t="shared" ca="1" si="405"/>
        <v>-7.4286727315962189</v>
      </c>
    </row>
    <row r="893" spans="1:34" x14ac:dyDescent="0.2">
      <c r="A893" s="347">
        <f t="shared" ca="1" si="383"/>
        <v>1E-4</v>
      </c>
      <c r="B893" s="304">
        <f t="shared" ca="1" si="384"/>
        <v>33.637300000001446</v>
      </c>
      <c r="D893" s="306">
        <f t="shared" ca="1" si="385"/>
        <v>-0.72876938035517702</v>
      </c>
      <c r="E893" s="307">
        <f t="shared" ca="1" si="386"/>
        <v>-2.4171228532651154</v>
      </c>
      <c r="F893" s="304">
        <f t="shared" ca="1" si="387"/>
        <v>2.5245965415328766</v>
      </c>
      <c r="G893" s="306">
        <f t="shared" ca="1" si="388"/>
        <v>11.867705775093757</v>
      </c>
      <c r="H893" s="307">
        <f t="shared" ca="1" si="389"/>
        <v>-120.3909056783728</v>
      </c>
      <c r="I893" s="304">
        <f t="shared" ca="1" si="390"/>
        <v>120.97442957262932</v>
      </c>
      <c r="J893" s="306">
        <f t="shared" ca="1" si="391"/>
        <v>755.70453742140728</v>
      </c>
      <c r="K893" s="307">
        <f t="shared" ca="1" si="392"/>
        <v>-6.869257791031905</v>
      </c>
      <c r="L893" s="304">
        <f t="shared" ca="1" si="377"/>
        <v>755.7357571148151</v>
      </c>
      <c r="M893" s="306">
        <f t="shared" ca="1" si="393"/>
        <v>-1.4725373465766187</v>
      </c>
      <c r="N893" s="304">
        <f t="shared" ca="1" si="394"/>
        <v>-84.370175134233236</v>
      </c>
      <c r="P893" s="310">
        <f t="shared" ca="1" si="395"/>
        <v>23</v>
      </c>
      <c r="Q893" s="304">
        <f t="shared" ca="1" si="396"/>
        <v>0</v>
      </c>
      <c r="R893" s="306">
        <f t="shared" ca="1" si="397"/>
        <v>0</v>
      </c>
      <c r="S893" s="307">
        <f t="shared" ca="1" si="398"/>
        <v>7.9769999999999968</v>
      </c>
      <c r="T893" s="304">
        <f t="shared" ca="1" si="378"/>
        <v>78.254369999999966</v>
      </c>
      <c r="U893" s="311">
        <f t="shared" ca="1" si="379"/>
        <v>0</v>
      </c>
      <c r="V893" s="306">
        <f t="shared" ca="1" si="380"/>
        <v>1.2258417731972564</v>
      </c>
      <c r="W893" s="304">
        <f t="shared" ca="1" si="381"/>
        <v>59.259122382925291</v>
      </c>
      <c r="Y893" s="314" t="str">
        <f t="shared" ca="1" si="399"/>
        <v/>
      </c>
      <c r="Z893" s="315" t="str">
        <f t="shared" ca="1" si="400"/>
        <v/>
      </c>
      <c r="AA893" s="316" t="str">
        <f t="shared" ca="1" si="401"/>
        <v/>
      </c>
      <c r="AC893" s="310" t="e">
        <f t="shared" ca="1" si="402"/>
        <v>#N/A</v>
      </c>
      <c r="AD893" s="323" t="e">
        <f t="shared" ca="1" si="403"/>
        <v>#N/A</v>
      </c>
      <c r="AE893" s="324" t="e">
        <f t="shared" ca="1" si="382"/>
        <v>#N/A</v>
      </c>
      <c r="AG893" s="306">
        <f t="shared" ca="1" si="404"/>
        <v>2.3339700566222117</v>
      </c>
      <c r="AH893" s="304">
        <f t="shared" ca="1" si="405"/>
        <v>-7.4287103400562202</v>
      </c>
    </row>
    <row r="894" spans="1:34" x14ac:dyDescent="0.2">
      <c r="A894" s="347">
        <f t="shared" ca="1" si="383"/>
        <v>1E-4</v>
      </c>
      <c r="B894" s="304">
        <f t="shared" ca="1" si="384"/>
        <v>33.637400000001449</v>
      </c>
      <c r="D894" s="306">
        <f t="shared" ca="1" si="385"/>
        <v>-0.72876718855564748</v>
      </c>
      <c r="E894" s="307">
        <f t="shared" ca="1" si="386"/>
        <v>-2.4170848467590398</v>
      </c>
      <c r="F894" s="304">
        <f t="shared" ca="1" si="387"/>
        <v>2.5245595203020019</v>
      </c>
      <c r="G894" s="306">
        <f t="shared" ca="1" si="388"/>
        <v>11.867632898374902</v>
      </c>
      <c r="H894" s="307">
        <f t="shared" ca="1" si="389"/>
        <v>-120.39114738685748</v>
      </c>
      <c r="I894" s="304">
        <f t="shared" ca="1" si="390"/>
        <v>120.97466296598901</v>
      </c>
      <c r="J894" s="306">
        <f t="shared" ca="1" si="391"/>
        <v>755.70453742140728</v>
      </c>
      <c r="K894" s="307">
        <f t="shared" ca="1" si="392"/>
        <v>-6.8812968936851666</v>
      </c>
      <c r="L894" s="304">
        <f t="shared" ca="1" si="377"/>
        <v>755.73586664008621</v>
      </c>
      <c r="M894" s="306">
        <f t="shared" ca="1" si="393"/>
        <v>-1.4725381420905221</v>
      </c>
      <c r="N894" s="304">
        <f t="shared" ca="1" si="394"/>
        <v>-84.370220713822448</v>
      </c>
      <c r="P894" s="310">
        <f t="shared" ca="1" si="395"/>
        <v>23</v>
      </c>
      <c r="Q894" s="304">
        <f t="shared" ca="1" si="396"/>
        <v>0</v>
      </c>
      <c r="R894" s="306">
        <f t="shared" ca="1" si="397"/>
        <v>0</v>
      </c>
      <c r="S894" s="307">
        <f t="shared" ca="1" si="398"/>
        <v>7.9769999999999968</v>
      </c>
      <c r="T894" s="304">
        <f t="shared" ca="1" si="378"/>
        <v>78.254369999999966</v>
      </c>
      <c r="U894" s="311">
        <f t="shared" ca="1" si="379"/>
        <v>0</v>
      </c>
      <c r="V894" s="306">
        <f t="shared" ca="1" si="380"/>
        <v>1.2258432490018132</v>
      </c>
      <c r="W894" s="304">
        <f t="shared" ca="1" si="381"/>
        <v>59.259422380833534</v>
      </c>
      <c r="Y894" s="314" t="str">
        <f t="shared" ca="1" si="399"/>
        <v/>
      </c>
      <c r="Z894" s="315" t="str">
        <f t="shared" ca="1" si="400"/>
        <v/>
      </c>
      <c r="AA894" s="316" t="str">
        <f t="shared" ca="1" si="401"/>
        <v/>
      </c>
      <c r="AC894" s="310" t="e">
        <f t="shared" ca="1" si="402"/>
        <v>#N/A</v>
      </c>
      <c r="AD894" s="323" t="e">
        <f t="shared" ca="1" si="403"/>
        <v>#N/A</v>
      </c>
      <c r="AE894" s="324" t="e">
        <f t="shared" ca="1" si="382"/>
        <v>#N/A</v>
      </c>
      <c r="AG894" s="306">
        <f t="shared" ca="1" si="404"/>
        <v>2.3339332140513109</v>
      </c>
      <c r="AH894" s="304">
        <f t="shared" ca="1" si="405"/>
        <v>-7.4287479482167873</v>
      </c>
    </row>
    <row r="895" spans="1:34" x14ac:dyDescent="0.2">
      <c r="A895" s="347">
        <f t="shared" ca="1" si="383"/>
        <v>1E-4</v>
      </c>
      <c r="B895" s="304">
        <f t="shared" ca="1" si="384"/>
        <v>33.637500000001452</v>
      </c>
      <c r="D895" s="306">
        <f t="shared" ca="1" si="385"/>
        <v>-0.72876499672554185</v>
      </c>
      <c r="E895" s="307">
        <f t="shared" ca="1" si="386"/>
        <v>-2.4170468405555594</v>
      </c>
      <c r="F895" s="304">
        <f t="shared" ca="1" si="387"/>
        <v>2.5245224993831981</v>
      </c>
      <c r="G895" s="306">
        <f t="shared" ca="1" si="388"/>
        <v>11.86756002187523</v>
      </c>
      <c r="H895" s="307">
        <f t="shared" ca="1" si="389"/>
        <v>-120.39138909154154</v>
      </c>
      <c r="I895" s="304">
        <f t="shared" ca="1" si="390"/>
        <v>120.97489635566447</v>
      </c>
      <c r="J895" s="306">
        <f t="shared" ca="1" si="391"/>
        <v>755.70453742140728</v>
      </c>
      <c r="K895" s="307">
        <f t="shared" ca="1" si="392"/>
        <v>-6.8933360205090866</v>
      </c>
      <c r="L895" s="304">
        <f t="shared" ca="1" si="377"/>
        <v>755.73597635734848</v>
      </c>
      <c r="M895" s="306">
        <f t="shared" ca="1" si="393"/>
        <v>-1.4725389375964708</v>
      </c>
      <c r="N895" s="304">
        <f t="shared" ca="1" si="394"/>
        <v>-84.370266292955876</v>
      </c>
      <c r="P895" s="310">
        <f t="shared" ca="1" si="395"/>
        <v>23</v>
      </c>
      <c r="Q895" s="304">
        <f t="shared" ca="1" si="396"/>
        <v>0</v>
      </c>
      <c r="R895" s="306">
        <f t="shared" ca="1" si="397"/>
        <v>0</v>
      </c>
      <c r="S895" s="307">
        <f t="shared" ca="1" si="398"/>
        <v>7.9769999999999968</v>
      </c>
      <c r="T895" s="304">
        <f t="shared" ca="1" si="378"/>
        <v>78.254369999999966</v>
      </c>
      <c r="U895" s="311">
        <f t="shared" ca="1" si="379"/>
        <v>0</v>
      </c>
      <c r="V895" s="306">
        <f t="shared" ca="1" si="380"/>
        <v>1.2258447248111108</v>
      </c>
      <c r="W895" s="304">
        <f t="shared" ca="1" si="381"/>
        <v>59.259722376353189</v>
      </c>
      <c r="Y895" s="314" t="str">
        <f t="shared" ca="1" si="399"/>
        <v/>
      </c>
      <c r="Z895" s="315" t="str">
        <f t="shared" ca="1" si="400"/>
        <v/>
      </c>
      <c r="AA895" s="316" t="str">
        <f t="shared" ca="1" si="401"/>
        <v/>
      </c>
      <c r="AC895" s="310" t="e">
        <f t="shared" ca="1" si="402"/>
        <v>#N/A</v>
      </c>
      <c r="AD895" s="323" t="e">
        <f t="shared" ca="1" si="403"/>
        <v>#N/A</v>
      </c>
      <c r="AE895" s="324" t="e">
        <f t="shared" ca="1" si="382"/>
        <v>#N/A</v>
      </c>
      <c r="AG895" s="306">
        <f t="shared" ca="1" si="404"/>
        <v>2.3338963717660164</v>
      </c>
      <c r="AH895" s="304">
        <f t="shared" ca="1" si="405"/>
        <v>-7.4287855560779192</v>
      </c>
    </row>
    <row r="896" spans="1:34" x14ac:dyDescent="0.2">
      <c r="A896" s="347">
        <f t="shared" ca="1" si="383"/>
        <v>1E-4</v>
      </c>
      <c r="B896" s="304">
        <f t="shared" ca="1" si="384"/>
        <v>33.637600000001456</v>
      </c>
      <c r="D896" s="306">
        <f t="shared" ca="1" si="385"/>
        <v>-0.72876280486486356</v>
      </c>
      <c r="E896" s="307">
        <f t="shared" ca="1" si="386"/>
        <v>-2.417008834654677</v>
      </c>
      <c r="F896" s="304">
        <f t="shared" ca="1" si="387"/>
        <v>2.5244854787764699</v>
      </c>
      <c r="G896" s="306">
        <f t="shared" ca="1" si="388"/>
        <v>11.867487145594744</v>
      </c>
      <c r="H896" s="307">
        <f t="shared" ca="1" si="389"/>
        <v>-120.391630792425</v>
      </c>
      <c r="I896" s="304">
        <f t="shared" ca="1" si="390"/>
        <v>120.97512974165572</v>
      </c>
      <c r="J896" s="306">
        <f t="shared" ca="1" si="391"/>
        <v>755.70453742140728</v>
      </c>
      <c r="K896" s="307">
        <f t="shared" ca="1" si="392"/>
        <v>-6.9053751715032847</v>
      </c>
      <c r="L896" s="304">
        <f t="shared" ca="1" si="377"/>
        <v>755.73608626660291</v>
      </c>
      <c r="M896" s="306">
        <f t="shared" ca="1" si="393"/>
        <v>-1.4725397330944652</v>
      </c>
      <c r="N896" s="304">
        <f t="shared" ca="1" si="394"/>
        <v>-84.370311871633575</v>
      </c>
      <c r="P896" s="310">
        <f t="shared" ca="1" si="395"/>
        <v>23</v>
      </c>
      <c r="Q896" s="304">
        <f t="shared" ca="1" si="396"/>
        <v>0</v>
      </c>
      <c r="R896" s="306">
        <f t="shared" ca="1" si="397"/>
        <v>0</v>
      </c>
      <c r="S896" s="307">
        <f t="shared" ca="1" si="398"/>
        <v>7.9769999999999968</v>
      </c>
      <c r="T896" s="304">
        <f t="shared" ca="1" si="378"/>
        <v>78.254369999999966</v>
      </c>
      <c r="U896" s="311">
        <f t="shared" ca="1" si="379"/>
        <v>0</v>
      </c>
      <c r="V896" s="306">
        <f t="shared" ca="1" si="380"/>
        <v>1.2258462006251487</v>
      </c>
      <c r="W896" s="304">
        <f t="shared" ca="1" si="381"/>
        <v>59.260022369484261</v>
      </c>
      <c r="Y896" s="314" t="str">
        <f t="shared" ca="1" si="399"/>
        <v/>
      </c>
      <c r="Z896" s="315" t="str">
        <f t="shared" ca="1" si="400"/>
        <v/>
      </c>
      <c r="AA896" s="316" t="str">
        <f t="shared" ca="1" si="401"/>
        <v/>
      </c>
      <c r="AC896" s="310" t="e">
        <f t="shared" ca="1" si="402"/>
        <v>#N/A</v>
      </c>
      <c r="AD896" s="323" t="e">
        <f t="shared" ca="1" si="403"/>
        <v>#N/A</v>
      </c>
      <c r="AE896" s="324" t="e">
        <f t="shared" ca="1" si="382"/>
        <v>#N/A</v>
      </c>
      <c r="AG896" s="306">
        <f t="shared" ca="1" si="404"/>
        <v>2.3338595297663236</v>
      </c>
      <c r="AH896" s="304">
        <f t="shared" ca="1" si="405"/>
        <v>-7.4288231636396151</v>
      </c>
    </row>
    <row r="897" spans="1:34" x14ac:dyDescent="0.2">
      <c r="A897" s="347">
        <f t="shared" ca="1" si="383"/>
        <v>1E-4</v>
      </c>
      <c r="B897" s="304">
        <f t="shared" ca="1" si="384"/>
        <v>33.637700000001459</v>
      </c>
      <c r="D897" s="306">
        <f t="shared" ca="1" si="385"/>
        <v>-0.72876061297361094</v>
      </c>
      <c r="E897" s="307">
        <f t="shared" ca="1" si="386"/>
        <v>-2.4169708290563889</v>
      </c>
      <c r="F897" s="304">
        <f t="shared" ca="1" si="387"/>
        <v>2.524448458481813</v>
      </c>
      <c r="G897" s="306">
        <f t="shared" ca="1" si="388"/>
        <v>11.867414269533446</v>
      </c>
      <c r="H897" s="307">
        <f t="shared" ca="1" si="389"/>
        <v>-120.3918724895079</v>
      </c>
      <c r="I897" s="304">
        <f t="shared" ca="1" si="390"/>
        <v>120.97536312396279</v>
      </c>
      <c r="J897" s="306">
        <f t="shared" ca="1" si="391"/>
        <v>755.70453742140728</v>
      </c>
      <c r="K897" s="307">
        <f t="shared" ca="1" si="392"/>
        <v>-6.917414346667381</v>
      </c>
      <c r="L897" s="304">
        <f t="shared" ca="1" si="377"/>
        <v>755.73619636785077</v>
      </c>
      <c r="M897" s="306">
        <f t="shared" ca="1" si="393"/>
        <v>-1.4725405285845052</v>
      </c>
      <c r="N897" s="304">
        <f t="shared" ca="1" si="394"/>
        <v>-84.370357449855504</v>
      </c>
      <c r="P897" s="310">
        <f t="shared" ca="1" si="395"/>
        <v>23</v>
      </c>
      <c r="Q897" s="304">
        <f t="shared" ca="1" si="396"/>
        <v>0</v>
      </c>
      <c r="R897" s="306">
        <f t="shared" ca="1" si="397"/>
        <v>0</v>
      </c>
      <c r="S897" s="307">
        <f t="shared" ca="1" si="398"/>
        <v>7.9769999999999968</v>
      </c>
      <c r="T897" s="304">
        <f t="shared" ca="1" si="378"/>
        <v>78.254369999999966</v>
      </c>
      <c r="U897" s="311">
        <f t="shared" ca="1" si="379"/>
        <v>0</v>
      </c>
      <c r="V897" s="306">
        <f t="shared" ca="1" si="380"/>
        <v>1.2258476764439266</v>
      </c>
      <c r="W897" s="304">
        <f t="shared" ca="1" si="381"/>
        <v>59.260322360226702</v>
      </c>
      <c r="Y897" s="314" t="str">
        <f t="shared" ca="1" si="399"/>
        <v/>
      </c>
      <c r="Z897" s="315" t="str">
        <f t="shared" ca="1" si="400"/>
        <v/>
      </c>
      <c r="AA897" s="316" t="str">
        <f t="shared" ca="1" si="401"/>
        <v/>
      </c>
      <c r="AC897" s="310" t="e">
        <f t="shared" ca="1" si="402"/>
        <v>#N/A</v>
      </c>
      <c r="AD897" s="323" t="e">
        <f t="shared" ca="1" si="403"/>
        <v>#N/A</v>
      </c>
      <c r="AE897" s="324" t="e">
        <f t="shared" ca="1" si="382"/>
        <v>#N/A</v>
      </c>
      <c r="AG897" s="306">
        <f t="shared" ca="1" si="404"/>
        <v>2.333822688052229</v>
      </c>
      <c r="AH897" s="304">
        <f t="shared" ca="1" si="405"/>
        <v>-7.4288607709018786</v>
      </c>
    </row>
    <row r="898" spans="1:34" x14ac:dyDescent="0.2">
      <c r="A898" s="347">
        <f t="shared" ca="1" si="383"/>
        <v>1E-4</v>
      </c>
      <c r="B898" s="304">
        <f t="shared" ca="1" si="384"/>
        <v>33.637800000001462</v>
      </c>
      <c r="D898" s="306">
        <f t="shared" ca="1" si="385"/>
        <v>-0.72875842105178501</v>
      </c>
      <c r="E898" s="307">
        <f t="shared" ca="1" si="386"/>
        <v>-2.4169328237607024</v>
      </c>
      <c r="F898" s="304">
        <f t="shared" ca="1" si="387"/>
        <v>2.5244114384992344</v>
      </c>
      <c r="G898" s="306">
        <f t="shared" ca="1" si="388"/>
        <v>11.867341393691341</v>
      </c>
      <c r="H898" s="307">
        <f t="shared" ca="1" si="389"/>
        <v>-120.39211418279028</v>
      </c>
      <c r="I898" s="304">
        <f t="shared" ca="1" si="390"/>
        <v>120.97559650258573</v>
      </c>
      <c r="J898" s="306">
        <f t="shared" ca="1" si="391"/>
        <v>755.70453742140728</v>
      </c>
      <c r="K898" s="307">
        <f t="shared" ca="1" si="392"/>
        <v>-6.9294535460009961</v>
      </c>
      <c r="L898" s="304">
        <f t="shared" ca="1" si="377"/>
        <v>755.73630666109284</v>
      </c>
      <c r="M898" s="306">
        <f t="shared" ca="1" si="393"/>
        <v>-1.4725413240665912</v>
      </c>
      <c r="N898" s="304">
        <f t="shared" ca="1" si="394"/>
        <v>-84.37040302762172</v>
      </c>
      <c r="P898" s="310">
        <f t="shared" ca="1" si="395"/>
        <v>23</v>
      </c>
      <c r="Q898" s="304">
        <f t="shared" ca="1" si="396"/>
        <v>0</v>
      </c>
      <c r="R898" s="306">
        <f t="shared" ca="1" si="397"/>
        <v>0</v>
      </c>
      <c r="S898" s="307">
        <f t="shared" ca="1" si="398"/>
        <v>7.9769999999999968</v>
      </c>
      <c r="T898" s="304">
        <f t="shared" ca="1" si="378"/>
        <v>78.254369999999966</v>
      </c>
      <c r="U898" s="311">
        <f t="shared" ca="1" si="379"/>
        <v>0</v>
      </c>
      <c r="V898" s="306">
        <f t="shared" ca="1" si="380"/>
        <v>1.2258491522674446</v>
      </c>
      <c r="W898" s="304">
        <f t="shared" ca="1" si="381"/>
        <v>59.260622348580547</v>
      </c>
      <c r="Y898" s="314" t="str">
        <f t="shared" ca="1" si="399"/>
        <v/>
      </c>
      <c r="Z898" s="315" t="str">
        <f t="shared" ca="1" si="400"/>
        <v/>
      </c>
      <c r="AA898" s="316" t="str">
        <f t="shared" ca="1" si="401"/>
        <v/>
      </c>
      <c r="AC898" s="310" t="e">
        <f t="shared" ca="1" si="402"/>
        <v>#N/A</v>
      </c>
      <c r="AD898" s="323" t="e">
        <f t="shared" ca="1" si="403"/>
        <v>#N/A</v>
      </c>
      <c r="AE898" s="324" t="e">
        <f t="shared" ca="1" si="382"/>
        <v>#N/A</v>
      </c>
      <c r="AG898" s="306">
        <f t="shared" ca="1" si="404"/>
        <v>2.3337858466237424</v>
      </c>
      <c r="AH898" s="304">
        <f t="shared" ca="1" si="405"/>
        <v>-7.4288983778647015</v>
      </c>
    </row>
    <row r="899" spans="1:34" x14ac:dyDescent="0.2">
      <c r="A899" s="347">
        <f t="shared" ca="1" si="383"/>
        <v>1E-4</v>
      </c>
      <c r="B899" s="304">
        <f t="shared" ca="1" si="384"/>
        <v>33.637900000001466</v>
      </c>
      <c r="D899" s="306">
        <f t="shared" ca="1" si="385"/>
        <v>-0.72875622909938631</v>
      </c>
      <c r="E899" s="307">
        <f t="shared" ca="1" si="386"/>
        <v>-2.4168948187676129</v>
      </c>
      <c r="F899" s="304">
        <f t="shared" ca="1" si="387"/>
        <v>2.5243744188287303</v>
      </c>
      <c r="G899" s="306">
        <f t="shared" ca="1" si="388"/>
        <v>11.86726851806843</v>
      </c>
      <c r="H899" s="307">
        <f t="shared" ca="1" si="389"/>
        <v>-120.39235587227216</v>
      </c>
      <c r="I899" s="304">
        <f t="shared" ca="1" si="390"/>
        <v>120.97582987752456</v>
      </c>
      <c r="J899" s="306">
        <f t="shared" ca="1" si="391"/>
        <v>755.70453742140728</v>
      </c>
      <c r="K899" s="307">
        <f t="shared" ca="1" si="392"/>
        <v>-6.9414927695037489</v>
      </c>
      <c r="L899" s="304">
        <f t="shared" ca="1" si="377"/>
        <v>755.73641714633038</v>
      </c>
      <c r="M899" s="306">
        <f t="shared" ca="1" si="393"/>
        <v>-1.4725421195407229</v>
      </c>
      <c r="N899" s="304">
        <f t="shared" ca="1" si="394"/>
        <v>-84.370448604932179</v>
      </c>
      <c r="P899" s="310">
        <f t="shared" ca="1" si="395"/>
        <v>23</v>
      </c>
      <c r="Q899" s="304">
        <f t="shared" ca="1" si="396"/>
        <v>0</v>
      </c>
      <c r="R899" s="306">
        <f t="shared" ca="1" si="397"/>
        <v>0</v>
      </c>
      <c r="S899" s="307">
        <f t="shared" ca="1" si="398"/>
        <v>7.9769999999999968</v>
      </c>
      <c r="T899" s="304">
        <f t="shared" ca="1" si="378"/>
        <v>78.254369999999966</v>
      </c>
      <c r="U899" s="311">
        <f t="shared" ca="1" si="379"/>
        <v>0</v>
      </c>
      <c r="V899" s="306">
        <f t="shared" ca="1" si="380"/>
        <v>1.2258506280957031</v>
      </c>
      <c r="W899" s="304">
        <f t="shared" ca="1" si="381"/>
        <v>59.26092233454581</v>
      </c>
      <c r="Y899" s="314" t="str">
        <f t="shared" ca="1" si="399"/>
        <v/>
      </c>
      <c r="Z899" s="315" t="str">
        <f t="shared" ca="1" si="400"/>
        <v/>
      </c>
      <c r="AA899" s="316" t="str">
        <f t="shared" ca="1" si="401"/>
        <v/>
      </c>
      <c r="AC899" s="310" t="e">
        <f t="shared" ca="1" si="402"/>
        <v>#N/A</v>
      </c>
      <c r="AD899" s="323" t="e">
        <f t="shared" ca="1" si="403"/>
        <v>#N/A</v>
      </c>
      <c r="AE899" s="324" t="e">
        <f t="shared" ca="1" si="382"/>
        <v>#N/A</v>
      </c>
      <c r="AG899" s="306">
        <f t="shared" ca="1" si="404"/>
        <v>2.3337490054808585</v>
      </c>
      <c r="AH899" s="304">
        <f t="shared" ca="1" si="405"/>
        <v>-7.4289359845280893</v>
      </c>
    </row>
    <row r="900" spans="1:34" x14ac:dyDescent="0.2">
      <c r="A900" s="347">
        <f t="shared" ca="1" si="383"/>
        <v>1E-4</v>
      </c>
      <c r="B900" s="304">
        <f t="shared" ca="1" si="384"/>
        <v>33.638000000001469</v>
      </c>
      <c r="D900" s="306">
        <f t="shared" ca="1" si="385"/>
        <v>-0.72875403711641817</v>
      </c>
      <c r="E900" s="307">
        <f t="shared" ca="1" si="386"/>
        <v>-2.4168568140771178</v>
      </c>
      <c r="F900" s="304">
        <f t="shared" ca="1" si="387"/>
        <v>2.5243373994702996</v>
      </c>
      <c r="G900" s="306">
        <f t="shared" ca="1" si="388"/>
        <v>11.867195642664718</v>
      </c>
      <c r="H900" s="307">
        <f t="shared" ca="1" si="389"/>
        <v>-120.39259755795356</v>
      </c>
      <c r="I900" s="304">
        <f t="shared" ca="1" si="390"/>
        <v>120.97606324877928</v>
      </c>
      <c r="J900" s="306">
        <f t="shared" ca="1" si="391"/>
        <v>755.70453742140728</v>
      </c>
      <c r="K900" s="307">
        <f t="shared" ca="1" si="392"/>
        <v>-6.9535320171752604</v>
      </c>
      <c r="L900" s="304">
        <f t="shared" ref="L900:L963" ca="1" si="406">SQRT(pos_x^2+pos_z^2)</f>
        <v>755.7365278235643</v>
      </c>
      <c r="M900" s="306">
        <f t="shared" ca="1" si="393"/>
        <v>-1.4725429150069009</v>
      </c>
      <c r="N900" s="304">
        <f t="shared" ca="1" si="394"/>
        <v>-84.370494181786924</v>
      </c>
      <c r="P900" s="310">
        <f t="shared" ca="1" si="395"/>
        <v>23</v>
      </c>
      <c r="Q900" s="304">
        <f t="shared" ca="1" si="396"/>
        <v>0</v>
      </c>
      <c r="R900" s="306">
        <f t="shared" ca="1" si="397"/>
        <v>0</v>
      </c>
      <c r="S900" s="307">
        <f t="shared" ca="1" si="398"/>
        <v>7.9769999999999968</v>
      </c>
      <c r="T900" s="304">
        <f t="shared" ref="T900:T963" ca="1" si="407">m*g</f>
        <v>78.254369999999966</v>
      </c>
      <c r="U900" s="311">
        <f t="shared" ref="U900:U963" ca="1" si="408">IF(pos_xz&lt;L_rampe,Poids*COS(Beta),0)</f>
        <v>0</v>
      </c>
      <c r="V900" s="306">
        <f t="shared" ref="V900:V963" ca="1" si="409">Rho_moyen*(20000-Alt_rampe-pos_z)/(20000+Alt_rampe+pos_z)</f>
        <v>1.2258521039287014</v>
      </c>
      <c r="W900" s="304">
        <f t="shared" ref="W900:W963" ca="1" si="410">1/2*Rho*Sref*Cx*vit_xz^2</f>
        <v>59.261222318122414</v>
      </c>
      <c r="Y900" s="314" t="str">
        <f t="shared" ca="1" si="399"/>
        <v/>
      </c>
      <c r="Z900" s="315" t="str">
        <f t="shared" ca="1" si="400"/>
        <v/>
      </c>
      <c r="AA900" s="316" t="str">
        <f t="shared" ca="1" si="401"/>
        <v/>
      </c>
      <c r="AC900" s="310" t="e">
        <f t="shared" ca="1" si="402"/>
        <v>#N/A</v>
      </c>
      <c r="AD900" s="323" t="e">
        <f t="shared" ca="1" si="403"/>
        <v>#N/A</v>
      </c>
      <c r="AE900" s="324" t="e">
        <f t="shared" ref="AE900:AE963" ca="1" si="411">IF(t&lt;T_para, pos_z, NA())</f>
        <v>#N/A</v>
      </c>
      <c r="AG900" s="306">
        <f t="shared" ca="1" si="404"/>
        <v>2.3337121646235754</v>
      </c>
      <c r="AH900" s="304">
        <f t="shared" ca="1" si="405"/>
        <v>-7.4289735908920438</v>
      </c>
    </row>
    <row r="901" spans="1:34" x14ac:dyDescent="0.2">
      <c r="A901" s="347">
        <f t="shared" ref="A901:A964" ca="1" si="412">IF(B900+0.01&lt;=T_ini+ROUNDUP(Temps_fin_propu,0), 0.01, IF(K900&gt;0, 0.1, 0.0001))</f>
        <v>1E-4</v>
      </c>
      <c r="B901" s="304">
        <f t="shared" ref="B901:B964" ca="1" si="413">B900+pas</f>
        <v>33.638100000001472</v>
      </c>
      <c r="D901" s="306">
        <f t="shared" ref="D901:D964" ca="1" si="414">IF(AND(L900&lt;L_rampe,Poussee&lt;Poids*SIN(M900)),0,(-W900+Poussee)/m*COS(M900)-U900/m*SIN(M900))</f>
        <v>-0.72875184510287638</v>
      </c>
      <c r="E901" s="307">
        <f t="shared" ref="E901:E964" ca="1" si="415">IF(AND(L900&lt;L_rampe,Poussee&lt;Poids*SIN(M900)),0,(-W900+Poussee)/m*SIN(M900)+U900/m*COS(M900)-Poids/m)</f>
        <v>-2.4168188096892269</v>
      </c>
      <c r="F901" s="304">
        <f t="shared" ref="F901:F964" ca="1" si="416">SQRT(acc_x^2+acc_z^2)</f>
        <v>2.5243003804239499</v>
      </c>
      <c r="G901" s="306">
        <f t="shared" ref="G901:G964" ca="1" si="417">G900+acc_x*pas</f>
        <v>11.867122767480208</v>
      </c>
      <c r="H901" s="307">
        <f t="shared" ref="H901:H964" ca="1" si="418">H900+acc_z*pas</f>
        <v>-120.39283923983453</v>
      </c>
      <c r="I901" s="304">
        <f t="shared" ref="I901:I964" ca="1" si="419">SQRT(vit_x^2+vit_z^2)</f>
        <v>120.97629661634997</v>
      </c>
      <c r="J901" s="306">
        <f t="shared" ref="J901:J964" ca="1" si="420">J900+0.5*(vit_x+G900)*pas*(K900&gt;=0)</f>
        <v>755.70453742140728</v>
      </c>
      <c r="K901" s="307">
        <f t="shared" ref="K901:K964" ca="1" si="421">K900+0.5*(vit_z+H900)*pas</f>
        <v>-6.9655712890151502</v>
      </c>
      <c r="L901" s="304">
        <f t="shared" ca="1" si="406"/>
        <v>755.73663869279596</v>
      </c>
      <c r="M901" s="306">
        <f t="shared" ref="M901:M964" ca="1" si="422">IF(AND(L900&gt;L_rampe,G901&gt;0),ATAN2(G901,H901),$M$4)</f>
        <v>-1.4725437104651249</v>
      </c>
      <c r="N901" s="304">
        <f t="shared" ref="N901:N964" ca="1" si="423">DEGREES(Beta)</f>
        <v>-84.370539758185927</v>
      </c>
      <c r="P901" s="310">
        <f t="shared" ref="P901:P964" ca="1" si="424">MATCH(t-pas/2-T_ini,CdP_t)</f>
        <v>23</v>
      </c>
      <c r="Q901" s="304">
        <f t="shared" ref="Q901:Q964" ca="1" si="425">(INDEX(CdP,2,i_P+1)-INDEX(CdP,2,i_P+0))/(INDEX(CdP,1,i_P+1)-INDEX(CdP,1,i_P+0))*(t-pas/2-T_ini-INDEX(CdP,1,i_P+0))+INDEX(CdP,2,i_P+0)</f>
        <v>0</v>
      </c>
      <c r="R901" s="306">
        <f t="shared" ref="R901:R964" ca="1" si="426">Poussee/(g*ISP)</f>
        <v>0</v>
      </c>
      <c r="S901" s="307">
        <f t="shared" ref="S901:S964" ca="1" si="427">S900-Débit*pas</f>
        <v>7.9769999999999968</v>
      </c>
      <c r="T901" s="304">
        <f t="shared" ca="1" si="407"/>
        <v>78.254369999999966</v>
      </c>
      <c r="U901" s="311">
        <f t="shared" ca="1" si="408"/>
        <v>0</v>
      </c>
      <c r="V901" s="306">
        <f t="shared" ca="1" si="409"/>
        <v>1.2258535797664403</v>
      </c>
      <c r="W901" s="304">
        <f t="shared" ca="1" si="410"/>
        <v>59.261522299310457</v>
      </c>
      <c r="Y901" s="314" t="str">
        <f t="shared" ref="Y901:Y964" ca="1" si="428">IF(AND(pos_z&lt;=0,K900&gt;0),"Impact balistique","") &amp; IF(AND(H902&lt;0,vit_z&gt;=0),"Apogée","") &amp; IF(AND(Poussee=0,Q900&gt;0),"Fin de propulsion","") &amp; IF(AND(L902&gt;L_rampe,pos_xz&lt;=L_rampe),"Sortie de rampe","")</f>
        <v/>
      </c>
      <c r="Z901" s="315" t="str">
        <f t="shared" ref="Z901:Z964" ca="1" si="429">IF(ABS(t-T_para)&lt;pas/2,"Para","")</f>
        <v/>
      </c>
      <c r="AA901" s="316" t="str">
        <f t="shared" ref="AA901:AA964" ca="1" si="430">IF(ABS(t-T_satellite)&lt;pas/2,"Satellite","")</f>
        <v/>
      </c>
      <c r="AC901" s="310" t="e">
        <f t="shared" ref="AC901:AC964" ca="1" si="431">IF(ABS(t-ROUND(t,0))&lt;0.001,t,NA())</f>
        <v>#N/A</v>
      </c>
      <c r="AD901" s="323" t="e">
        <f t="shared" ref="AD901:AD964" ca="1" si="432">IF(ABS(t-ROUND(t,0))&lt;0.001,pos_x,NA())</f>
        <v>#N/A</v>
      </c>
      <c r="AE901" s="324" t="e">
        <f t="shared" ca="1" si="411"/>
        <v>#N/A</v>
      </c>
      <c r="AG901" s="306">
        <f t="shared" ref="AG901:AG964" ca="1" si="433">IF(AND(L900&lt;L_rampe,Poussee&lt;Poids*SIN(M900)),0,(-W900+Poussee)/m-Poids*SIN(M900)/m)</f>
        <v>2.333675324051903</v>
      </c>
      <c r="AH901" s="304">
        <f t="shared" ref="AH901:AH964" ca="1" si="434">IF(AND(L900&lt;L_rampe,Poussee&lt;Poids*SIN(M900)), g*SIN(M900), (-W900+Poussee)/m)</f>
        <v>-7.4290111969565551</v>
      </c>
    </row>
    <row r="902" spans="1:34" x14ac:dyDescent="0.2">
      <c r="A902" s="347">
        <f t="shared" ca="1" si="412"/>
        <v>1E-4</v>
      </c>
      <c r="B902" s="304">
        <f t="shared" ca="1" si="413"/>
        <v>33.638200000001476</v>
      </c>
      <c r="D902" s="306">
        <f t="shared" ca="1" si="414"/>
        <v>-0.72874965305876693</v>
      </c>
      <c r="E902" s="307">
        <f t="shared" ca="1" si="415"/>
        <v>-2.4167808056039304</v>
      </c>
      <c r="F902" s="304">
        <f t="shared" ca="1" si="416"/>
        <v>2.5242633616896741</v>
      </c>
      <c r="G902" s="306">
        <f t="shared" ca="1" si="417"/>
        <v>11.867049892514901</v>
      </c>
      <c r="H902" s="307">
        <f t="shared" ca="1" si="418"/>
        <v>-120.39308091791509</v>
      </c>
      <c r="I902" s="304">
        <f t="shared" ca="1" si="419"/>
        <v>120.97652998023661</v>
      </c>
      <c r="J902" s="306">
        <f t="shared" ca="1" si="420"/>
        <v>755.70453742140728</v>
      </c>
      <c r="K902" s="307">
        <f t="shared" ca="1" si="421"/>
        <v>-6.9776105850230374</v>
      </c>
      <c r="L902" s="304">
        <f t="shared" ca="1" si="406"/>
        <v>755.73674975402605</v>
      </c>
      <c r="M902" s="306">
        <f t="shared" ca="1" si="422"/>
        <v>-1.4725445059153952</v>
      </c>
      <c r="N902" s="304">
        <f t="shared" ca="1" si="423"/>
        <v>-84.370585334129231</v>
      </c>
      <c r="P902" s="310">
        <f t="shared" ca="1" si="424"/>
        <v>23</v>
      </c>
      <c r="Q902" s="304">
        <f t="shared" ca="1" si="425"/>
        <v>0</v>
      </c>
      <c r="R902" s="306">
        <f t="shared" ca="1" si="426"/>
        <v>0</v>
      </c>
      <c r="S902" s="307">
        <f t="shared" ca="1" si="427"/>
        <v>7.9769999999999968</v>
      </c>
      <c r="T902" s="304">
        <f t="shared" ca="1" si="407"/>
        <v>78.254369999999966</v>
      </c>
      <c r="U902" s="311">
        <f t="shared" ca="1" si="408"/>
        <v>0</v>
      </c>
      <c r="V902" s="306">
        <f t="shared" ca="1" si="409"/>
        <v>1.2258550556089187</v>
      </c>
      <c r="W902" s="304">
        <f t="shared" ca="1" si="410"/>
        <v>59.261822278109825</v>
      </c>
      <c r="Y902" s="314" t="str">
        <f t="shared" ca="1" si="428"/>
        <v/>
      </c>
      <c r="Z902" s="315" t="str">
        <f t="shared" ca="1" si="429"/>
        <v/>
      </c>
      <c r="AA902" s="316" t="str">
        <f t="shared" ca="1" si="430"/>
        <v/>
      </c>
      <c r="AC902" s="310" t="e">
        <f t="shared" ca="1" si="431"/>
        <v>#N/A</v>
      </c>
      <c r="AD902" s="323" t="e">
        <f t="shared" ca="1" si="432"/>
        <v>#N/A</v>
      </c>
      <c r="AE902" s="324" t="e">
        <f t="shared" ca="1" si="411"/>
        <v>#N/A</v>
      </c>
      <c r="AG902" s="306">
        <f t="shared" ca="1" si="433"/>
        <v>2.3336384837658333</v>
      </c>
      <c r="AH902" s="304">
        <f t="shared" ca="1" si="434"/>
        <v>-7.4290488027216348</v>
      </c>
    </row>
    <row r="903" spans="1:34" x14ac:dyDescent="0.2">
      <c r="A903" s="347">
        <f t="shared" ca="1" si="412"/>
        <v>1E-4</v>
      </c>
      <c r="B903" s="304">
        <f t="shared" ca="1" si="413"/>
        <v>33.638300000001479</v>
      </c>
      <c r="D903" s="306">
        <f t="shared" ca="1" si="414"/>
        <v>-0.72874746098408694</v>
      </c>
      <c r="E903" s="307">
        <f t="shared" ca="1" si="415"/>
        <v>-2.4167428018212389</v>
      </c>
      <c r="F903" s="304">
        <f t="shared" ca="1" si="416"/>
        <v>2.5242263432674825</v>
      </c>
      <c r="G903" s="306">
        <f t="shared" ca="1" si="417"/>
        <v>11.866977017768802</v>
      </c>
      <c r="H903" s="307">
        <f t="shared" ca="1" si="418"/>
        <v>-120.39332259219526</v>
      </c>
      <c r="I903" s="304">
        <f t="shared" ca="1" si="419"/>
        <v>120.97676334043925</v>
      </c>
      <c r="J903" s="306">
        <f t="shared" ca="1" si="420"/>
        <v>755.70453742140728</v>
      </c>
      <c r="K903" s="307">
        <f t="shared" ca="1" si="421"/>
        <v>-6.9896499051985428</v>
      </c>
      <c r="L903" s="304">
        <f t="shared" ca="1" si="406"/>
        <v>755.73686100725592</v>
      </c>
      <c r="M903" s="306">
        <f t="shared" ca="1" si="422"/>
        <v>-1.4725453013577121</v>
      </c>
      <c r="N903" s="304">
        <f t="shared" ca="1" si="423"/>
        <v>-84.370630909616835</v>
      </c>
      <c r="P903" s="310">
        <f t="shared" ca="1" si="424"/>
        <v>23</v>
      </c>
      <c r="Q903" s="304">
        <f t="shared" ca="1" si="425"/>
        <v>0</v>
      </c>
      <c r="R903" s="306">
        <f t="shared" ca="1" si="426"/>
        <v>0</v>
      </c>
      <c r="S903" s="307">
        <f t="shared" ca="1" si="427"/>
        <v>7.9769999999999968</v>
      </c>
      <c r="T903" s="304">
        <f t="shared" ca="1" si="407"/>
        <v>78.254369999999966</v>
      </c>
      <c r="U903" s="311">
        <f t="shared" ca="1" si="408"/>
        <v>0</v>
      </c>
      <c r="V903" s="306">
        <f t="shared" ca="1" si="409"/>
        <v>1.2258565314561374</v>
      </c>
      <c r="W903" s="304">
        <f t="shared" ca="1" si="410"/>
        <v>59.262122254520605</v>
      </c>
      <c r="Y903" s="314" t="str">
        <f t="shared" ca="1" si="428"/>
        <v/>
      </c>
      <c r="Z903" s="315" t="str">
        <f t="shared" ca="1" si="429"/>
        <v/>
      </c>
      <c r="AA903" s="316" t="str">
        <f t="shared" ca="1" si="430"/>
        <v/>
      </c>
      <c r="AC903" s="310" t="e">
        <f t="shared" ca="1" si="431"/>
        <v>#N/A</v>
      </c>
      <c r="AD903" s="323" t="e">
        <f t="shared" ca="1" si="432"/>
        <v>#N/A</v>
      </c>
      <c r="AE903" s="324" t="e">
        <f t="shared" ca="1" si="411"/>
        <v>#N/A</v>
      </c>
      <c r="AG903" s="306">
        <f t="shared" ca="1" si="433"/>
        <v>2.3336016437653759</v>
      </c>
      <c r="AH903" s="304">
        <f t="shared" ca="1" si="434"/>
        <v>-7.4290864081872696</v>
      </c>
    </row>
    <row r="904" spans="1:34" x14ac:dyDescent="0.2">
      <c r="A904" s="347">
        <f t="shared" ca="1" si="412"/>
        <v>1E-4</v>
      </c>
      <c r="B904" s="304">
        <f t="shared" ca="1" si="413"/>
        <v>33.638400000001482</v>
      </c>
      <c r="D904" s="306">
        <f t="shared" ca="1" si="414"/>
        <v>-0.72874526887883739</v>
      </c>
      <c r="E904" s="307">
        <f t="shared" ca="1" si="415"/>
        <v>-2.4167047983411427</v>
      </c>
      <c r="F904" s="304">
        <f t="shared" ca="1" si="416"/>
        <v>2.5241893251573648</v>
      </c>
      <c r="G904" s="306">
        <f t="shared" ca="1" si="417"/>
        <v>11.866904143241914</v>
      </c>
      <c r="H904" s="307">
        <f t="shared" ca="1" si="418"/>
        <v>-120.3935642626751</v>
      </c>
      <c r="I904" s="304">
        <f t="shared" ca="1" si="419"/>
        <v>120.97699669695794</v>
      </c>
      <c r="J904" s="306">
        <f t="shared" ca="1" si="420"/>
        <v>755.70453742140728</v>
      </c>
      <c r="K904" s="307">
        <f t="shared" ca="1" si="421"/>
        <v>-7.0016892495412861</v>
      </c>
      <c r="L904" s="304">
        <f t="shared" ca="1" si="406"/>
        <v>755.7369724524865</v>
      </c>
      <c r="M904" s="306">
        <f t="shared" ca="1" si="422"/>
        <v>-1.4725460967920754</v>
      </c>
      <c r="N904" s="304">
        <f t="shared" ca="1" si="423"/>
        <v>-84.370676484648726</v>
      </c>
      <c r="P904" s="310">
        <f t="shared" ca="1" si="424"/>
        <v>23</v>
      </c>
      <c r="Q904" s="304">
        <f t="shared" ca="1" si="425"/>
        <v>0</v>
      </c>
      <c r="R904" s="306">
        <f t="shared" ca="1" si="426"/>
        <v>0</v>
      </c>
      <c r="S904" s="307">
        <f t="shared" ca="1" si="427"/>
        <v>7.9769999999999968</v>
      </c>
      <c r="T904" s="304">
        <f t="shared" ca="1" si="407"/>
        <v>78.254369999999966</v>
      </c>
      <c r="U904" s="311">
        <f t="shared" ca="1" si="408"/>
        <v>0</v>
      </c>
      <c r="V904" s="306">
        <f t="shared" ca="1" si="409"/>
        <v>1.225858007308096</v>
      </c>
      <c r="W904" s="304">
        <f t="shared" ca="1" si="410"/>
        <v>59.262422228542782</v>
      </c>
      <c r="Y904" s="314" t="str">
        <f t="shared" ca="1" si="428"/>
        <v/>
      </c>
      <c r="Z904" s="315" t="str">
        <f t="shared" ca="1" si="429"/>
        <v/>
      </c>
      <c r="AA904" s="316" t="str">
        <f t="shared" ca="1" si="430"/>
        <v/>
      </c>
      <c r="AC904" s="310" t="e">
        <f t="shared" ca="1" si="431"/>
        <v>#N/A</v>
      </c>
      <c r="AD904" s="323" t="e">
        <f t="shared" ca="1" si="432"/>
        <v>#N/A</v>
      </c>
      <c r="AE904" s="324" t="e">
        <f t="shared" ca="1" si="411"/>
        <v>#N/A</v>
      </c>
      <c r="AG904" s="306">
        <f t="shared" ca="1" si="433"/>
        <v>2.3335648040505221</v>
      </c>
      <c r="AH904" s="304">
        <f t="shared" ca="1" si="434"/>
        <v>-7.4291240133534702</v>
      </c>
    </row>
    <row r="905" spans="1:34" x14ac:dyDescent="0.2">
      <c r="A905" s="347">
        <f t="shared" ca="1" si="412"/>
        <v>1E-4</v>
      </c>
      <c r="B905" s="304">
        <f t="shared" ca="1" si="413"/>
        <v>33.638500000001486</v>
      </c>
      <c r="D905" s="306">
        <f t="shared" ca="1" si="414"/>
        <v>-0.72874307674302108</v>
      </c>
      <c r="E905" s="307">
        <f t="shared" ca="1" si="415"/>
        <v>-2.4166667951636462</v>
      </c>
      <c r="F905" s="304">
        <f t="shared" ca="1" si="416"/>
        <v>2.5241523073593268</v>
      </c>
      <c r="G905" s="306">
        <f t="shared" ca="1" si="417"/>
        <v>11.86683126893424</v>
      </c>
      <c r="H905" s="307">
        <f t="shared" ca="1" si="418"/>
        <v>-120.39380592935461</v>
      </c>
      <c r="I905" s="304">
        <f t="shared" ca="1" si="419"/>
        <v>120.97723004979267</v>
      </c>
      <c r="J905" s="306">
        <f t="shared" ca="1" si="420"/>
        <v>755.70453742140728</v>
      </c>
      <c r="K905" s="307">
        <f t="shared" ca="1" si="421"/>
        <v>-7.0137286180508873</v>
      </c>
      <c r="L905" s="304">
        <f t="shared" ca="1" si="406"/>
        <v>755.73708408971891</v>
      </c>
      <c r="M905" s="306">
        <f t="shared" ca="1" si="422"/>
        <v>-1.4725468922184852</v>
      </c>
      <c r="N905" s="304">
        <f t="shared" ca="1" si="423"/>
        <v>-84.370722059224931</v>
      </c>
      <c r="P905" s="310">
        <f t="shared" ca="1" si="424"/>
        <v>23</v>
      </c>
      <c r="Q905" s="304">
        <f t="shared" ca="1" si="425"/>
        <v>0</v>
      </c>
      <c r="R905" s="306">
        <f t="shared" ca="1" si="426"/>
        <v>0</v>
      </c>
      <c r="S905" s="307">
        <f t="shared" ca="1" si="427"/>
        <v>7.9769999999999968</v>
      </c>
      <c r="T905" s="304">
        <f t="shared" ca="1" si="407"/>
        <v>78.254369999999966</v>
      </c>
      <c r="U905" s="311">
        <f t="shared" ca="1" si="408"/>
        <v>0</v>
      </c>
      <c r="V905" s="306">
        <f t="shared" ca="1" si="409"/>
        <v>1.2258594831647946</v>
      </c>
      <c r="W905" s="304">
        <f t="shared" ca="1" si="410"/>
        <v>59.262722200176292</v>
      </c>
      <c r="Y905" s="314" t="str">
        <f t="shared" ca="1" si="428"/>
        <v/>
      </c>
      <c r="Z905" s="315" t="str">
        <f t="shared" ca="1" si="429"/>
        <v/>
      </c>
      <c r="AA905" s="316" t="str">
        <f t="shared" ca="1" si="430"/>
        <v/>
      </c>
      <c r="AC905" s="310" t="e">
        <f t="shared" ca="1" si="431"/>
        <v>#N/A</v>
      </c>
      <c r="AD905" s="323" t="e">
        <f t="shared" ca="1" si="432"/>
        <v>#N/A</v>
      </c>
      <c r="AE905" s="324" t="e">
        <f t="shared" ca="1" si="411"/>
        <v>#N/A</v>
      </c>
      <c r="AG905" s="306">
        <f t="shared" ca="1" si="433"/>
        <v>2.3335279646212728</v>
      </c>
      <c r="AH905" s="304">
        <f t="shared" ca="1" si="434"/>
        <v>-7.4291616182202338</v>
      </c>
    </row>
    <row r="906" spans="1:34" x14ac:dyDescent="0.2">
      <c r="A906" s="347">
        <f t="shared" ca="1" si="412"/>
        <v>1E-4</v>
      </c>
      <c r="B906" s="304">
        <f t="shared" ca="1" si="413"/>
        <v>33.638600000001489</v>
      </c>
      <c r="D906" s="306">
        <f t="shared" ca="1" si="414"/>
        <v>-0.72874088457663755</v>
      </c>
      <c r="E906" s="307">
        <f t="shared" ca="1" si="415"/>
        <v>-2.4166287922887539</v>
      </c>
      <c r="F906" s="304">
        <f t="shared" ca="1" si="416"/>
        <v>2.524115289873373</v>
      </c>
      <c r="G906" s="306">
        <f t="shared" ca="1" si="417"/>
        <v>11.866758394845782</v>
      </c>
      <c r="H906" s="307">
        <f t="shared" ca="1" si="418"/>
        <v>-120.39404759223385</v>
      </c>
      <c r="I906" s="304">
        <f t="shared" ca="1" si="419"/>
        <v>120.97746339894348</v>
      </c>
      <c r="J906" s="306">
        <f t="shared" ca="1" si="420"/>
        <v>755.70453742140728</v>
      </c>
      <c r="K906" s="307">
        <f t="shared" ca="1" si="421"/>
        <v>-7.0257680107269671</v>
      </c>
      <c r="L906" s="304">
        <f t="shared" ca="1" si="406"/>
        <v>755.73719591895417</v>
      </c>
      <c r="M906" s="306">
        <f t="shared" ca="1" si="422"/>
        <v>-1.4725476876369419</v>
      </c>
      <c r="N906" s="304">
        <f t="shared" ca="1" si="423"/>
        <v>-84.370767633345437</v>
      </c>
      <c r="P906" s="310">
        <f t="shared" ca="1" si="424"/>
        <v>23</v>
      </c>
      <c r="Q906" s="304">
        <f t="shared" ca="1" si="425"/>
        <v>0</v>
      </c>
      <c r="R906" s="306">
        <f t="shared" ca="1" si="426"/>
        <v>0</v>
      </c>
      <c r="S906" s="307">
        <f t="shared" ca="1" si="427"/>
        <v>7.9769999999999968</v>
      </c>
      <c r="T906" s="304">
        <f t="shared" ca="1" si="407"/>
        <v>78.254369999999966</v>
      </c>
      <c r="U906" s="311">
        <f t="shared" ca="1" si="408"/>
        <v>0</v>
      </c>
      <c r="V906" s="306">
        <f t="shared" ca="1" si="409"/>
        <v>1.2258609590262335</v>
      </c>
      <c r="W906" s="304">
        <f t="shared" ca="1" si="410"/>
        <v>59.263022169421212</v>
      </c>
      <c r="Y906" s="314" t="str">
        <f t="shared" ca="1" si="428"/>
        <v/>
      </c>
      <c r="Z906" s="315" t="str">
        <f t="shared" ca="1" si="429"/>
        <v/>
      </c>
      <c r="AA906" s="316" t="str">
        <f t="shared" ca="1" si="430"/>
        <v/>
      </c>
      <c r="AC906" s="310" t="e">
        <f t="shared" ca="1" si="431"/>
        <v>#N/A</v>
      </c>
      <c r="AD906" s="323" t="e">
        <f t="shared" ca="1" si="432"/>
        <v>#N/A</v>
      </c>
      <c r="AE906" s="324" t="e">
        <f t="shared" ca="1" si="411"/>
        <v>#N/A</v>
      </c>
      <c r="AG906" s="306">
        <f t="shared" ca="1" si="433"/>
        <v>2.3334911254776403</v>
      </c>
      <c r="AH906" s="304">
        <f t="shared" ca="1" si="434"/>
        <v>-7.4291992227875534</v>
      </c>
    </row>
    <row r="907" spans="1:34" x14ac:dyDescent="0.2">
      <c r="A907" s="347">
        <f t="shared" ca="1" si="412"/>
        <v>1E-4</v>
      </c>
      <c r="B907" s="304">
        <f t="shared" ca="1" si="413"/>
        <v>33.638700000001492</v>
      </c>
      <c r="D907" s="306">
        <f t="shared" ca="1" si="414"/>
        <v>-0.72873869237968758</v>
      </c>
      <c r="E907" s="307">
        <f t="shared" ca="1" si="415"/>
        <v>-2.4165907897164587</v>
      </c>
      <c r="F907" s="304">
        <f t="shared" ca="1" si="416"/>
        <v>2.5240782726994966</v>
      </c>
      <c r="G907" s="306">
        <f t="shared" ca="1" si="417"/>
        <v>11.866685520976544</v>
      </c>
      <c r="H907" s="307">
        <f t="shared" ca="1" si="418"/>
        <v>-120.39428925131281</v>
      </c>
      <c r="I907" s="304">
        <f t="shared" ca="1" si="419"/>
        <v>120.97769674441041</v>
      </c>
      <c r="J907" s="306">
        <f t="shared" ca="1" si="420"/>
        <v>755.70453742140728</v>
      </c>
      <c r="K907" s="307">
        <f t="shared" ca="1" si="421"/>
        <v>-7.0378074275691445</v>
      </c>
      <c r="L907" s="304">
        <f t="shared" ca="1" si="406"/>
        <v>755.73730794019343</v>
      </c>
      <c r="M907" s="306">
        <f t="shared" ca="1" si="422"/>
        <v>-1.4725484830474456</v>
      </c>
      <c r="N907" s="304">
        <f t="shared" ca="1" si="423"/>
        <v>-84.370813207010286</v>
      </c>
      <c r="P907" s="310">
        <f t="shared" ca="1" si="424"/>
        <v>23</v>
      </c>
      <c r="Q907" s="304">
        <f t="shared" ca="1" si="425"/>
        <v>0</v>
      </c>
      <c r="R907" s="306">
        <f t="shared" ca="1" si="426"/>
        <v>0</v>
      </c>
      <c r="S907" s="307">
        <f t="shared" ca="1" si="427"/>
        <v>7.9769999999999968</v>
      </c>
      <c r="T907" s="304">
        <f t="shared" ca="1" si="407"/>
        <v>78.254369999999966</v>
      </c>
      <c r="U907" s="311">
        <f t="shared" ca="1" si="408"/>
        <v>0</v>
      </c>
      <c r="V907" s="306">
        <f t="shared" ca="1" si="409"/>
        <v>1.2258624348924119</v>
      </c>
      <c r="W907" s="304">
        <f t="shared" ca="1" si="410"/>
        <v>59.263322136277466</v>
      </c>
      <c r="Y907" s="314" t="str">
        <f t="shared" ca="1" si="428"/>
        <v/>
      </c>
      <c r="Z907" s="315" t="str">
        <f t="shared" ca="1" si="429"/>
        <v/>
      </c>
      <c r="AA907" s="316" t="str">
        <f t="shared" ca="1" si="430"/>
        <v/>
      </c>
      <c r="AC907" s="310" t="e">
        <f t="shared" ca="1" si="431"/>
        <v>#N/A</v>
      </c>
      <c r="AD907" s="323" t="e">
        <f t="shared" ca="1" si="432"/>
        <v>#N/A</v>
      </c>
      <c r="AE907" s="324" t="e">
        <f t="shared" ca="1" si="411"/>
        <v>#N/A</v>
      </c>
      <c r="AG907" s="306">
        <f t="shared" ca="1" si="433"/>
        <v>2.3334542866196113</v>
      </c>
      <c r="AH907" s="304">
        <f t="shared" ca="1" si="434"/>
        <v>-7.4292368270554388</v>
      </c>
    </row>
    <row r="908" spans="1:34" x14ac:dyDescent="0.2">
      <c r="A908" s="347">
        <f t="shared" ca="1" si="412"/>
        <v>1E-4</v>
      </c>
      <c r="B908" s="304">
        <f t="shared" ca="1" si="413"/>
        <v>33.638800000001496</v>
      </c>
      <c r="D908" s="306">
        <f t="shared" ca="1" si="414"/>
        <v>-0.72873650015217029</v>
      </c>
      <c r="E908" s="307">
        <f t="shared" ca="1" si="415"/>
        <v>-2.4165527874467676</v>
      </c>
      <c r="F908" s="304">
        <f t="shared" ca="1" si="416"/>
        <v>2.5240412558377043</v>
      </c>
      <c r="G908" s="306">
        <f t="shared" ca="1" si="417"/>
        <v>11.866612647326528</v>
      </c>
      <c r="H908" s="307">
        <f t="shared" ca="1" si="418"/>
        <v>-120.39453090659156</v>
      </c>
      <c r="I908" s="304">
        <f t="shared" ca="1" si="419"/>
        <v>120.9779300861935</v>
      </c>
      <c r="J908" s="306">
        <f t="shared" ca="1" si="420"/>
        <v>755.70453742140728</v>
      </c>
      <c r="K908" s="307">
        <f t="shared" ca="1" si="421"/>
        <v>-7.0498468685770392</v>
      </c>
      <c r="L908" s="304">
        <f t="shared" ca="1" si="406"/>
        <v>755.73742015343771</v>
      </c>
      <c r="M908" s="306">
        <f t="shared" ca="1" si="422"/>
        <v>-1.4725492784499961</v>
      </c>
      <c r="N908" s="304">
        <f t="shared" ca="1" si="423"/>
        <v>-84.370858780219436</v>
      </c>
      <c r="P908" s="310">
        <f t="shared" ca="1" si="424"/>
        <v>23</v>
      </c>
      <c r="Q908" s="304">
        <f t="shared" ca="1" si="425"/>
        <v>0</v>
      </c>
      <c r="R908" s="306">
        <f t="shared" ca="1" si="426"/>
        <v>0</v>
      </c>
      <c r="S908" s="307">
        <f t="shared" ca="1" si="427"/>
        <v>7.9769999999999968</v>
      </c>
      <c r="T908" s="304">
        <f t="shared" ca="1" si="407"/>
        <v>78.254369999999966</v>
      </c>
      <c r="U908" s="311">
        <f t="shared" ca="1" si="408"/>
        <v>0</v>
      </c>
      <c r="V908" s="306">
        <f t="shared" ca="1" si="409"/>
        <v>1.2258639107633302</v>
      </c>
      <c r="W908" s="304">
        <f t="shared" ca="1" si="410"/>
        <v>59.26362210074511</v>
      </c>
      <c r="Y908" s="314" t="str">
        <f t="shared" ca="1" si="428"/>
        <v/>
      </c>
      <c r="Z908" s="315" t="str">
        <f t="shared" ca="1" si="429"/>
        <v/>
      </c>
      <c r="AA908" s="316" t="str">
        <f t="shared" ca="1" si="430"/>
        <v/>
      </c>
      <c r="AC908" s="310" t="e">
        <f t="shared" ca="1" si="431"/>
        <v>#N/A</v>
      </c>
      <c r="AD908" s="323" t="e">
        <f t="shared" ca="1" si="432"/>
        <v>#N/A</v>
      </c>
      <c r="AE908" s="324" t="e">
        <f t="shared" ca="1" si="411"/>
        <v>#N/A</v>
      </c>
      <c r="AG908" s="306">
        <f t="shared" ca="1" si="433"/>
        <v>2.3334174480471956</v>
      </c>
      <c r="AH908" s="304">
        <f t="shared" ca="1" si="434"/>
        <v>-7.4292744310238801</v>
      </c>
    </row>
    <row r="909" spans="1:34" x14ac:dyDescent="0.2">
      <c r="A909" s="347">
        <f t="shared" ca="1" si="412"/>
        <v>1E-4</v>
      </c>
      <c r="B909" s="304">
        <f t="shared" ca="1" si="413"/>
        <v>33.638900000001499</v>
      </c>
      <c r="D909" s="306">
        <f t="shared" ca="1" si="414"/>
        <v>-0.72873430789408944</v>
      </c>
      <c r="E909" s="307">
        <f t="shared" ca="1" si="415"/>
        <v>-2.4165147854796771</v>
      </c>
      <c r="F909" s="304">
        <f t="shared" ca="1" si="416"/>
        <v>2.5240042392879944</v>
      </c>
      <c r="G909" s="306">
        <f t="shared" ca="1" si="417"/>
        <v>11.866539773895738</v>
      </c>
      <c r="H909" s="307">
        <f t="shared" ca="1" si="418"/>
        <v>-120.3947725580701</v>
      </c>
      <c r="I909" s="304">
        <f t="shared" ca="1" si="419"/>
        <v>120.97816342429273</v>
      </c>
      <c r="J909" s="306">
        <f t="shared" ca="1" si="420"/>
        <v>755.70453742140728</v>
      </c>
      <c r="K909" s="307">
        <f t="shared" ca="1" si="421"/>
        <v>-7.0618863337502722</v>
      </c>
      <c r="L909" s="304">
        <f t="shared" ca="1" si="406"/>
        <v>755.73753255868792</v>
      </c>
      <c r="M909" s="306">
        <f t="shared" ca="1" si="422"/>
        <v>-1.4725500738445938</v>
      </c>
      <c r="N909" s="304">
        <f t="shared" ca="1" si="423"/>
        <v>-84.370904352972943</v>
      </c>
      <c r="P909" s="310">
        <f t="shared" ca="1" si="424"/>
        <v>23</v>
      </c>
      <c r="Q909" s="304">
        <f t="shared" ca="1" si="425"/>
        <v>0</v>
      </c>
      <c r="R909" s="306">
        <f t="shared" ca="1" si="426"/>
        <v>0</v>
      </c>
      <c r="S909" s="307">
        <f t="shared" ca="1" si="427"/>
        <v>7.9769999999999968</v>
      </c>
      <c r="T909" s="304">
        <f t="shared" ca="1" si="407"/>
        <v>78.254369999999966</v>
      </c>
      <c r="U909" s="311">
        <f t="shared" ca="1" si="408"/>
        <v>0</v>
      </c>
      <c r="V909" s="306">
        <f t="shared" ca="1" si="409"/>
        <v>1.2258653866389886</v>
      </c>
      <c r="W909" s="304">
        <f t="shared" ca="1" si="410"/>
        <v>59.263922062824086</v>
      </c>
      <c r="Y909" s="314" t="str">
        <f t="shared" ca="1" si="428"/>
        <v/>
      </c>
      <c r="Z909" s="315" t="str">
        <f t="shared" ca="1" si="429"/>
        <v/>
      </c>
      <c r="AA909" s="316" t="str">
        <f t="shared" ca="1" si="430"/>
        <v/>
      </c>
      <c r="AC909" s="310" t="e">
        <f t="shared" ca="1" si="431"/>
        <v>#N/A</v>
      </c>
      <c r="AD909" s="323" t="e">
        <f t="shared" ca="1" si="432"/>
        <v>#N/A</v>
      </c>
      <c r="AE909" s="324" t="e">
        <f t="shared" ca="1" si="411"/>
        <v>#N/A</v>
      </c>
      <c r="AG909" s="306">
        <f t="shared" ca="1" si="433"/>
        <v>2.3333806097603853</v>
      </c>
      <c r="AH909" s="304">
        <f t="shared" ca="1" si="434"/>
        <v>-7.4293120346928836</v>
      </c>
    </row>
    <row r="910" spans="1:34" x14ac:dyDescent="0.2">
      <c r="A910" s="347">
        <f t="shared" ca="1" si="412"/>
        <v>1E-4</v>
      </c>
      <c r="B910" s="304">
        <f t="shared" ca="1" si="413"/>
        <v>33.639000000001502</v>
      </c>
      <c r="D910" s="306">
        <f t="shared" ca="1" si="414"/>
        <v>-0.72873211560544282</v>
      </c>
      <c r="E910" s="307">
        <f t="shared" ca="1" si="415"/>
        <v>-2.4164767838151908</v>
      </c>
      <c r="F910" s="304">
        <f t="shared" ca="1" si="416"/>
        <v>2.5239672230503691</v>
      </c>
      <c r="G910" s="306">
        <f t="shared" ca="1" si="417"/>
        <v>11.866466900684177</v>
      </c>
      <c r="H910" s="307">
        <f t="shared" ca="1" si="418"/>
        <v>-120.39501420574848</v>
      </c>
      <c r="I910" s="304">
        <f t="shared" ca="1" si="419"/>
        <v>120.97839675870817</v>
      </c>
      <c r="J910" s="306">
        <f t="shared" ca="1" si="420"/>
        <v>755.70453742140728</v>
      </c>
      <c r="K910" s="307">
        <f t="shared" ca="1" si="421"/>
        <v>-7.0739258230884632</v>
      </c>
      <c r="L910" s="304">
        <f t="shared" ca="1" si="406"/>
        <v>755.73764515594542</v>
      </c>
      <c r="M910" s="306">
        <f t="shared" ca="1" si="422"/>
        <v>-1.4725508692312388</v>
      </c>
      <c r="N910" s="304">
        <f t="shared" ca="1" si="423"/>
        <v>-84.370949925270779</v>
      </c>
      <c r="P910" s="310">
        <f t="shared" ca="1" si="424"/>
        <v>23</v>
      </c>
      <c r="Q910" s="304">
        <f t="shared" ca="1" si="425"/>
        <v>0</v>
      </c>
      <c r="R910" s="306">
        <f t="shared" ca="1" si="426"/>
        <v>0</v>
      </c>
      <c r="S910" s="307">
        <f t="shared" ca="1" si="427"/>
        <v>7.9769999999999968</v>
      </c>
      <c r="T910" s="304">
        <f t="shared" ca="1" si="407"/>
        <v>78.254369999999966</v>
      </c>
      <c r="U910" s="311">
        <f t="shared" ca="1" si="408"/>
        <v>0</v>
      </c>
      <c r="V910" s="306">
        <f t="shared" ca="1" si="409"/>
        <v>1.2258668625193865</v>
      </c>
      <c r="W910" s="304">
        <f t="shared" ca="1" si="410"/>
        <v>59.264222022514424</v>
      </c>
      <c r="Y910" s="314" t="str">
        <f t="shared" ca="1" si="428"/>
        <v/>
      </c>
      <c r="Z910" s="315" t="str">
        <f t="shared" ca="1" si="429"/>
        <v/>
      </c>
      <c r="AA910" s="316" t="str">
        <f t="shared" ca="1" si="430"/>
        <v/>
      </c>
      <c r="AC910" s="310" t="e">
        <f t="shared" ca="1" si="431"/>
        <v>#N/A</v>
      </c>
      <c r="AD910" s="323" t="e">
        <f t="shared" ca="1" si="432"/>
        <v>#N/A</v>
      </c>
      <c r="AE910" s="324" t="e">
        <f t="shared" ca="1" si="411"/>
        <v>#N/A</v>
      </c>
      <c r="AG910" s="306">
        <f t="shared" ca="1" si="433"/>
        <v>2.3333437717591936</v>
      </c>
      <c r="AH910" s="304">
        <f t="shared" ca="1" si="434"/>
        <v>-7.4293496380624431</v>
      </c>
    </row>
    <row r="911" spans="1:34" x14ac:dyDescent="0.2">
      <c r="A911" s="347">
        <f t="shared" ca="1" si="412"/>
        <v>1E-4</v>
      </c>
      <c r="B911" s="304">
        <f t="shared" ca="1" si="413"/>
        <v>33.639100000001505</v>
      </c>
      <c r="D911" s="306">
        <f t="shared" ca="1" si="414"/>
        <v>-0.72872992328623243</v>
      </c>
      <c r="E911" s="307">
        <f t="shared" ca="1" si="415"/>
        <v>-2.4164387824533069</v>
      </c>
      <c r="F911" s="304">
        <f t="shared" ca="1" si="416"/>
        <v>2.523930207124828</v>
      </c>
      <c r="G911" s="306">
        <f t="shared" ca="1" si="417"/>
        <v>11.866394027691848</v>
      </c>
      <c r="H911" s="307">
        <f t="shared" ca="1" si="418"/>
        <v>-120.39525584962672</v>
      </c>
      <c r="I911" s="304">
        <f t="shared" ca="1" si="419"/>
        <v>120.97863008943983</v>
      </c>
      <c r="J911" s="306">
        <f t="shared" ca="1" si="420"/>
        <v>755.70453742140728</v>
      </c>
      <c r="K911" s="307">
        <f t="shared" ca="1" si="421"/>
        <v>-7.0859653365912321</v>
      </c>
      <c r="L911" s="304">
        <f t="shared" ca="1" si="406"/>
        <v>755.73775794521111</v>
      </c>
      <c r="M911" s="306">
        <f t="shared" ca="1" si="422"/>
        <v>-1.472551664609931</v>
      </c>
      <c r="N911" s="304">
        <f t="shared" ca="1" si="423"/>
        <v>-84.370995497112958</v>
      </c>
      <c r="P911" s="310">
        <f t="shared" ca="1" si="424"/>
        <v>23</v>
      </c>
      <c r="Q911" s="304">
        <f t="shared" ca="1" si="425"/>
        <v>0</v>
      </c>
      <c r="R911" s="306">
        <f t="shared" ca="1" si="426"/>
        <v>0</v>
      </c>
      <c r="S911" s="307">
        <f t="shared" ca="1" si="427"/>
        <v>7.9769999999999968</v>
      </c>
      <c r="T911" s="304">
        <f t="shared" ca="1" si="407"/>
        <v>78.254369999999966</v>
      </c>
      <c r="U911" s="311">
        <f t="shared" ca="1" si="408"/>
        <v>0</v>
      </c>
      <c r="V911" s="306">
        <f t="shared" ca="1" si="409"/>
        <v>1.2258683384045241</v>
      </c>
      <c r="W911" s="304">
        <f t="shared" ca="1" si="410"/>
        <v>59.264521979816095</v>
      </c>
      <c r="Y911" s="314" t="str">
        <f t="shared" ca="1" si="428"/>
        <v/>
      </c>
      <c r="Z911" s="315" t="str">
        <f t="shared" ca="1" si="429"/>
        <v/>
      </c>
      <c r="AA911" s="316" t="str">
        <f t="shared" ca="1" si="430"/>
        <v/>
      </c>
      <c r="AC911" s="310" t="e">
        <f t="shared" ca="1" si="431"/>
        <v>#N/A</v>
      </c>
      <c r="AD911" s="323" t="e">
        <f t="shared" ca="1" si="432"/>
        <v>#N/A</v>
      </c>
      <c r="AE911" s="324" t="e">
        <f t="shared" ca="1" si="411"/>
        <v>#N/A</v>
      </c>
      <c r="AG911" s="306">
        <f t="shared" ca="1" si="433"/>
        <v>2.3333069340436134</v>
      </c>
      <c r="AH911" s="304">
        <f t="shared" ca="1" si="434"/>
        <v>-7.4293872411325621</v>
      </c>
    </row>
    <row r="912" spans="1:34" x14ac:dyDescent="0.2">
      <c r="A912" s="347">
        <f t="shared" ca="1" si="412"/>
        <v>1E-4</v>
      </c>
      <c r="B912" s="304">
        <f t="shared" ca="1" si="413"/>
        <v>33.639200000001509</v>
      </c>
      <c r="D912" s="306">
        <f t="shared" ca="1" si="414"/>
        <v>-0.72872773093645937</v>
      </c>
      <c r="E912" s="307">
        <f t="shared" ca="1" si="415"/>
        <v>-2.416400781394028</v>
      </c>
      <c r="F912" s="304">
        <f t="shared" ca="1" si="416"/>
        <v>2.5238931915113745</v>
      </c>
      <c r="G912" s="306">
        <f t="shared" ca="1" si="417"/>
        <v>11.866321154918754</v>
      </c>
      <c r="H912" s="307">
        <f t="shared" ca="1" si="418"/>
        <v>-120.39549748970487</v>
      </c>
      <c r="I912" s="304">
        <f t="shared" ca="1" si="419"/>
        <v>120.97886341648777</v>
      </c>
      <c r="J912" s="306">
        <f t="shared" ca="1" si="420"/>
        <v>755.70453742140728</v>
      </c>
      <c r="K912" s="307">
        <f t="shared" ca="1" si="421"/>
        <v>-7.0980048742581987</v>
      </c>
      <c r="L912" s="304">
        <f t="shared" ca="1" si="406"/>
        <v>755.73787092648615</v>
      </c>
      <c r="M912" s="306">
        <f t="shared" ca="1" si="422"/>
        <v>-1.4725524599806707</v>
      </c>
      <c r="N912" s="304">
        <f t="shared" ca="1" si="423"/>
        <v>-84.371041068499494</v>
      </c>
      <c r="P912" s="310">
        <f t="shared" ca="1" si="424"/>
        <v>23</v>
      </c>
      <c r="Q912" s="304">
        <f t="shared" ca="1" si="425"/>
        <v>0</v>
      </c>
      <c r="R912" s="306">
        <f t="shared" ca="1" si="426"/>
        <v>0</v>
      </c>
      <c r="S912" s="307">
        <f t="shared" ca="1" si="427"/>
        <v>7.9769999999999968</v>
      </c>
      <c r="T912" s="304">
        <f t="shared" ca="1" si="407"/>
        <v>78.254369999999966</v>
      </c>
      <c r="U912" s="311">
        <f t="shared" ca="1" si="408"/>
        <v>0</v>
      </c>
      <c r="V912" s="306">
        <f t="shared" ca="1" si="409"/>
        <v>1.2258698142944016</v>
      </c>
      <c r="W912" s="304">
        <f t="shared" ca="1" si="410"/>
        <v>59.264821934729149</v>
      </c>
      <c r="Y912" s="314" t="str">
        <f t="shared" ca="1" si="428"/>
        <v/>
      </c>
      <c r="Z912" s="315" t="str">
        <f t="shared" ca="1" si="429"/>
        <v/>
      </c>
      <c r="AA912" s="316" t="str">
        <f t="shared" ca="1" si="430"/>
        <v/>
      </c>
      <c r="AC912" s="310" t="e">
        <f t="shared" ca="1" si="431"/>
        <v>#N/A</v>
      </c>
      <c r="AD912" s="323" t="e">
        <f t="shared" ca="1" si="432"/>
        <v>#N/A</v>
      </c>
      <c r="AE912" s="324" t="e">
        <f t="shared" ca="1" si="411"/>
        <v>#N/A</v>
      </c>
      <c r="AG912" s="306">
        <f t="shared" ca="1" si="433"/>
        <v>2.3332700966136484</v>
      </c>
      <c r="AH912" s="304">
        <f t="shared" ca="1" si="434"/>
        <v>-7.4294248439032371</v>
      </c>
    </row>
    <row r="913" spans="1:34" x14ac:dyDescent="0.2">
      <c r="A913" s="347">
        <f t="shared" ca="1" si="412"/>
        <v>1E-4</v>
      </c>
      <c r="B913" s="304">
        <f t="shared" ca="1" si="413"/>
        <v>33.639300000001512</v>
      </c>
      <c r="D913" s="306">
        <f t="shared" ca="1" si="414"/>
        <v>-0.72872553855612432</v>
      </c>
      <c r="E913" s="307">
        <f t="shared" ca="1" si="415"/>
        <v>-2.4163627806373507</v>
      </c>
      <c r="F913" s="304">
        <f t="shared" ca="1" si="416"/>
        <v>2.5238561762100038</v>
      </c>
      <c r="G913" s="306">
        <f t="shared" ca="1" si="417"/>
        <v>11.866248282364898</v>
      </c>
      <c r="H913" s="307">
        <f t="shared" ca="1" si="418"/>
        <v>-120.39573912598293</v>
      </c>
      <c r="I913" s="304">
        <f t="shared" ca="1" si="419"/>
        <v>120.97909673985198</v>
      </c>
      <c r="J913" s="306">
        <f t="shared" ca="1" si="420"/>
        <v>755.70453742140728</v>
      </c>
      <c r="K913" s="307">
        <f t="shared" ca="1" si="421"/>
        <v>-7.110044436088983</v>
      </c>
      <c r="L913" s="304">
        <f t="shared" ca="1" si="406"/>
        <v>755.73798409977132</v>
      </c>
      <c r="M913" s="306">
        <f t="shared" ca="1" si="422"/>
        <v>-1.4725532553434582</v>
      </c>
      <c r="N913" s="304">
        <f t="shared" ca="1" si="423"/>
        <v>-84.371086639430388</v>
      </c>
      <c r="P913" s="310">
        <f t="shared" ca="1" si="424"/>
        <v>23</v>
      </c>
      <c r="Q913" s="304">
        <f t="shared" ca="1" si="425"/>
        <v>0</v>
      </c>
      <c r="R913" s="306">
        <f t="shared" ca="1" si="426"/>
        <v>0</v>
      </c>
      <c r="S913" s="307">
        <f t="shared" ca="1" si="427"/>
        <v>7.9769999999999968</v>
      </c>
      <c r="T913" s="304">
        <f t="shared" ca="1" si="407"/>
        <v>78.254369999999966</v>
      </c>
      <c r="U913" s="311">
        <f t="shared" ca="1" si="408"/>
        <v>0</v>
      </c>
      <c r="V913" s="306">
        <f t="shared" ca="1" si="409"/>
        <v>1.225871290189019</v>
      </c>
      <c r="W913" s="304">
        <f t="shared" ca="1" si="410"/>
        <v>59.265121887253564</v>
      </c>
      <c r="Y913" s="314" t="str">
        <f t="shared" ca="1" si="428"/>
        <v/>
      </c>
      <c r="Z913" s="315" t="str">
        <f t="shared" ca="1" si="429"/>
        <v/>
      </c>
      <c r="AA913" s="316" t="str">
        <f t="shared" ca="1" si="430"/>
        <v/>
      </c>
      <c r="AC913" s="310" t="e">
        <f t="shared" ca="1" si="431"/>
        <v>#N/A</v>
      </c>
      <c r="AD913" s="323" t="e">
        <f t="shared" ca="1" si="432"/>
        <v>#N/A</v>
      </c>
      <c r="AE913" s="324" t="e">
        <f t="shared" ca="1" si="411"/>
        <v>#N/A</v>
      </c>
      <c r="AG913" s="306">
        <f t="shared" ca="1" si="433"/>
        <v>2.3332332594692931</v>
      </c>
      <c r="AH913" s="304">
        <f t="shared" ca="1" si="434"/>
        <v>-7.4294624463744734</v>
      </c>
    </row>
    <row r="914" spans="1:34" x14ac:dyDescent="0.2">
      <c r="A914" s="347">
        <f t="shared" ca="1" si="412"/>
        <v>1E-4</v>
      </c>
      <c r="B914" s="304">
        <f t="shared" ca="1" si="413"/>
        <v>33.639400000001515</v>
      </c>
      <c r="D914" s="306">
        <f t="shared" ca="1" si="414"/>
        <v>-0.72872334614522694</v>
      </c>
      <c r="E914" s="307">
        <f t="shared" ca="1" si="415"/>
        <v>-2.4163247801832739</v>
      </c>
      <c r="F914" s="304">
        <f t="shared" ca="1" si="416"/>
        <v>2.5238191612207173</v>
      </c>
      <c r="G914" s="306">
        <f t="shared" ca="1" si="417"/>
        <v>11.866175410030284</v>
      </c>
      <c r="H914" s="307">
        <f t="shared" ca="1" si="418"/>
        <v>-120.39598075846095</v>
      </c>
      <c r="I914" s="304">
        <f t="shared" ca="1" si="419"/>
        <v>120.97933005953251</v>
      </c>
      <c r="J914" s="306">
        <f t="shared" ca="1" si="420"/>
        <v>755.70453742140728</v>
      </c>
      <c r="K914" s="307">
        <f t="shared" ca="1" si="421"/>
        <v>-7.1220840220832056</v>
      </c>
      <c r="L914" s="304">
        <f t="shared" ca="1" si="406"/>
        <v>755.73809746506811</v>
      </c>
      <c r="M914" s="306">
        <f t="shared" ca="1" si="422"/>
        <v>-1.4725540506982933</v>
      </c>
      <c r="N914" s="304">
        <f t="shared" ca="1" si="423"/>
        <v>-84.371132209905653</v>
      </c>
      <c r="P914" s="310">
        <f t="shared" ca="1" si="424"/>
        <v>23</v>
      </c>
      <c r="Q914" s="304">
        <f t="shared" ca="1" si="425"/>
        <v>0</v>
      </c>
      <c r="R914" s="306">
        <f t="shared" ca="1" si="426"/>
        <v>0</v>
      </c>
      <c r="S914" s="307">
        <f t="shared" ca="1" si="427"/>
        <v>7.9769999999999968</v>
      </c>
      <c r="T914" s="304">
        <f t="shared" ca="1" si="407"/>
        <v>78.254369999999966</v>
      </c>
      <c r="U914" s="311">
        <f t="shared" ca="1" si="408"/>
        <v>0</v>
      </c>
      <c r="V914" s="306">
        <f t="shared" ca="1" si="409"/>
        <v>1.2258727660883761</v>
      </c>
      <c r="W914" s="304">
        <f t="shared" ca="1" si="410"/>
        <v>59.265421837389319</v>
      </c>
      <c r="Y914" s="314" t="str">
        <f t="shared" ca="1" si="428"/>
        <v/>
      </c>
      <c r="Z914" s="315" t="str">
        <f t="shared" ca="1" si="429"/>
        <v/>
      </c>
      <c r="AA914" s="316" t="str">
        <f t="shared" ca="1" si="430"/>
        <v/>
      </c>
      <c r="AC914" s="310" t="e">
        <f t="shared" ca="1" si="431"/>
        <v>#N/A</v>
      </c>
      <c r="AD914" s="323" t="e">
        <f t="shared" ca="1" si="432"/>
        <v>#N/A</v>
      </c>
      <c r="AE914" s="324" t="e">
        <f t="shared" ca="1" si="411"/>
        <v>#N/A</v>
      </c>
      <c r="AG914" s="306">
        <f t="shared" ca="1" si="433"/>
        <v>2.333196422610551</v>
      </c>
      <c r="AH914" s="304">
        <f t="shared" ca="1" si="434"/>
        <v>-7.4295000485462692</v>
      </c>
    </row>
    <row r="915" spans="1:34" x14ac:dyDescent="0.2">
      <c r="A915" s="347">
        <f t="shared" ca="1" si="412"/>
        <v>1E-4</v>
      </c>
      <c r="B915" s="304">
        <f t="shared" ca="1" si="413"/>
        <v>33.639500000001519</v>
      </c>
      <c r="D915" s="306">
        <f t="shared" ca="1" si="414"/>
        <v>-0.72872115370376866</v>
      </c>
      <c r="E915" s="307">
        <f t="shared" ca="1" si="415"/>
        <v>-2.4162867800318031</v>
      </c>
      <c r="F915" s="304">
        <f t="shared" ca="1" si="416"/>
        <v>2.5237821465435188</v>
      </c>
      <c r="G915" s="306">
        <f t="shared" ca="1" si="417"/>
        <v>11.866102537914914</v>
      </c>
      <c r="H915" s="307">
        <f t="shared" ca="1" si="418"/>
        <v>-120.39622238713895</v>
      </c>
      <c r="I915" s="304">
        <f t="shared" ca="1" si="419"/>
        <v>120.97956337552938</v>
      </c>
      <c r="J915" s="306">
        <f t="shared" ca="1" si="420"/>
        <v>755.70453742140728</v>
      </c>
      <c r="K915" s="307">
        <f t="shared" ca="1" si="421"/>
        <v>-7.1341236322404855</v>
      </c>
      <c r="L915" s="304">
        <f t="shared" ca="1" si="406"/>
        <v>755.7382110223773</v>
      </c>
      <c r="M915" s="306">
        <f t="shared" ca="1" si="422"/>
        <v>-1.4725548460451761</v>
      </c>
      <c r="N915" s="304">
        <f t="shared" ca="1" si="423"/>
        <v>-84.37117777992529</v>
      </c>
      <c r="P915" s="310">
        <f t="shared" ca="1" si="424"/>
        <v>23</v>
      </c>
      <c r="Q915" s="304">
        <f t="shared" ca="1" si="425"/>
        <v>0</v>
      </c>
      <c r="R915" s="306">
        <f t="shared" ca="1" si="426"/>
        <v>0</v>
      </c>
      <c r="S915" s="307">
        <f t="shared" ca="1" si="427"/>
        <v>7.9769999999999968</v>
      </c>
      <c r="T915" s="304">
        <f t="shared" ca="1" si="407"/>
        <v>78.254369999999966</v>
      </c>
      <c r="U915" s="311">
        <f t="shared" ca="1" si="408"/>
        <v>0</v>
      </c>
      <c r="V915" s="306">
        <f t="shared" ca="1" si="409"/>
        <v>1.2258742419924724</v>
      </c>
      <c r="W915" s="304">
        <f t="shared" ca="1" si="410"/>
        <v>59.265721785136378</v>
      </c>
      <c r="Y915" s="314" t="str">
        <f t="shared" ca="1" si="428"/>
        <v/>
      </c>
      <c r="Z915" s="315" t="str">
        <f t="shared" ca="1" si="429"/>
        <v/>
      </c>
      <c r="AA915" s="316" t="str">
        <f t="shared" ca="1" si="430"/>
        <v/>
      </c>
      <c r="AC915" s="310" t="e">
        <f t="shared" ca="1" si="431"/>
        <v>#N/A</v>
      </c>
      <c r="AD915" s="323" t="e">
        <f t="shared" ca="1" si="432"/>
        <v>#N/A</v>
      </c>
      <c r="AE915" s="324" t="e">
        <f t="shared" ca="1" si="411"/>
        <v>#N/A</v>
      </c>
      <c r="AG915" s="306">
        <f t="shared" ca="1" si="433"/>
        <v>2.3331595860374259</v>
      </c>
      <c r="AH915" s="304">
        <f t="shared" ca="1" si="434"/>
        <v>-7.429537650418621</v>
      </c>
    </row>
    <row r="916" spans="1:34" x14ac:dyDescent="0.2">
      <c r="A916" s="347">
        <f t="shared" ca="1" si="412"/>
        <v>1E-4</v>
      </c>
      <c r="B916" s="304">
        <f t="shared" ca="1" si="413"/>
        <v>33.639600000001522</v>
      </c>
      <c r="D916" s="306">
        <f t="shared" ca="1" si="414"/>
        <v>-0.72871896123175062</v>
      </c>
      <c r="E916" s="307">
        <f t="shared" ca="1" si="415"/>
        <v>-2.41624878018294</v>
      </c>
      <c r="F916" s="304">
        <f t="shared" ca="1" si="416"/>
        <v>2.5237451321784112</v>
      </c>
      <c r="G916" s="306">
        <f t="shared" ca="1" si="417"/>
        <v>11.866029666018791</v>
      </c>
      <c r="H916" s="307">
        <f t="shared" ca="1" si="418"/>
        <v>-120.39646401201696</v>
      </c>
      <c r="I916" s="304">
        <f t="shared" ca="1" si="419"/>
        <v>120.97979668784261</v>
      </c>
      <c r="J916" s="306">
        <f t="shared" ca="1" si="420"/>
        <v>755.70453742140728</v>
      </c>
      <c r="K916" s="307">
        <f t="shared" ca="1" si="421"/>
        <v>-7.1461632665604435</v>
      </c>
      <c r="L916" s="304">
        <f t="shared" ca="1" si="406"/>
        <v>755.73832477170004</v>
      </c>
      <c r="M916" s="306">
        <f t="shared" ca="1" si="422"/>
        <v>-1.472555641384107</v>
      </c>
      <c r="N916" s="304">
        <f t="shared" ca="1" si="423"/>
        <v>-84.371223349489313</v>
      </c>
      <c r="P916" s="310">
        <f t="shared" ca="1" si="424"/>
        <v>23</v>
      </c>
      <c r="Q916" s="304">
        <f t="shared" ca="1" si="425"/>
        <v>0</v>
      </c>
      <c r="R916" s="306">
        <f t="shared" ca="1" si="426"/>
        <v>0</v>
      </c>
      <c r="S916" s="307">
        <f t="shared" ca="1" si="427"/>
        <v>7.9769999999999968</v>
      </c>
      <c r="T916" s="304">
        <f t="shared" ca="1" si="407"/>
        <v>78.254369999999966</v>
      </c>
      <c r="U916" s="311">
        <f t="shared" ca="1" si="408"/>
        <v>0</v>
      </c>
      <c r="V916" s="306">
        <f t="shared" ca="1" si="409"/>
        <v>1.2258757179013087</v>
      </c>
      <c r="W916" s="304">
        <f t="shared" ca="1" si="410"/>
        <v>59.266021730494778</v>
      </c>
      <c r="Y916" s="314" t="str">
        <f t="shared" ca="1" si="428"/>
        <v/>
      </c>
      <c r="Z916" s="315" t="str">
        <f t="shared" ca="1" si="429"/>
        <v/>
      </c>
      <c r="AA916" s="316" t="str">
        <f t="shared" ca="1" si="430"/>
        <v/>
      </c>
      <c r="AC916" s="310" t="e">
        <f t="shared" ca="1" si="431"/>
        <v>#N/A</v>
      </c>
      <c r="AD916" s="323" t="e">
        <f t="shared" ca="1" si="432"/>
        <v>#N/A</v>
      </c>
      <c r="AE916" s="324" t="e">
        <f t="shared" ca="1" si="411"/>
        <v>#N/A</v>
      </c>
      <c r="AG916" s="306">
        <f t="shared" ca="1" si="433"/>
        <v>2.3331227497499185</v>
      </c>
      <c r="AH916" s="304">
        <f t="shared" ca="1" si="434"/>
        <v>-7.4295752519915261</v>
      </c>
    </row>
    <row r="917" spans="1:34" x14ac:dyDescent="0.2">
      <c r="A917" s="347">
        <f t="shared" ca="1" si="412"/>
        <v>1E-4</v>
      </c>
      <c r="B917" s="304">
        <f t="shared" ca="1" si="413"/>
        <v>33.639700000001525</v>
      </c>
      <c r="D917" s="306">
        <f t="shared" ca="1" si="414"/>
        <v>-0.72871676872917168</v>
      </c>
      <c r="E917" s="307">
        <f t="shared" ca="1" si="415"/>
        <v>-2.4162107806366828</v>
      </c>
      <c r="F917" s="304">
        <f t="shared" ca="1" si="416"/>
        <v>2.5237081181253931</v>
      </c>
      <c r="G917" s="306">
        <f t="shared" ca="1" si="417"/>
        <v>11.865956794341919</v>
      </c>
      <c r="H917" s="307">
        <f t="shared" ca="1" si="418"/>
        <v>-120.39670563309502</v>
      </c>
      <c r="I917" s="304">
        <f t="shared" ca="1" si="419"/>
        <v>120.98002999647224</v>
      </c>
      <c r="J917" s="306">
        <f t="shared" ca="1" si="420"/>
        <v>755.70453742140728</v>
      </c>
      <c r="K917" s="307">
        <f t="shared" ca="1" si="421"/>
        <v>-7.1582029250426995</v>
      </c>
      <c r="L917" s="304">
        <f t="shared" ca="1" si="406"/>
        <v>755.73843871303734</v>
      </c>
      <c r="M917" s="306">
        <f t="shared" ca="1" si="422"/>
        <v>-1.4725564367150858</v>
      </c>
      <c r="N917" s="304">
        <f t="shared" ca="1" si="423"/>
        <v>-84.371268918597721</v>
      </c>
      <c r="P917" s="310">
        <f t="shared" ca="1" si="424"/>
        <v>23</v>
      </c>
      <c r="Q917" s="304">
        <f t="shared" ca="1" si="425"/>
        <v>0</v>
      </c>
      <c r="R917" s="306">
        <f t="shared" ca="1" si="426"/>
        <v>0</v>
      </c>
      <c r="S917" s="307">
        <f t="shared" ca="1" si="427"/>
        <v>7.9769999999999968</v>
      </c>
      <c r="T917" s="304">
        <f t="shared" ca="1" si="407"/>
        <v>78.254369999999966</v>
      </c>
      <c r="U917" s="311">
        <f t="shared" ca="1" si="408"/>
        <v>0</v>
      </c>
      <c r="V917" s="306">
        <f t="shared" ca="1" si="409"/>
        <v>1.2258771938148845</v>
      </c>
      <c r="W917" s="304">
        <f t="shared" ca="1" si="410"/>
        <v>59.266321673464518</v>
      </c>
      <c r="Y917" s="314" t="str">
        <f t="shared" ca="1" si="428"/>
        <v/>
      </c>
      <c r="Z917" s="315" t="str">
        <f t="shared" ca="1" si="429"/>
        <v/>
      </c>
      <c r="AA917" s="316" t="str">
        <f t="shared" ca="1" si="430"/>
        <v/>
      </c>
      <c r="AC917" s="310" t="e">
        <f t="shared" ca="1" si="431"/>
        <v>#N/A</v>
      </c>
      <c r="AD917" s="323" t="e">
        <f t="shared" ca="1" si="432"/>
        <v>#N/A</v>
      </c>
      <c r="AE917" s="324" t="e">
        <f t="shared" ca="1" si="411"/>
        <v>#N/A</v>
      </c>
      <c r="AG917" s="306">
        <f t="shared" ca="1" si="433"/>
        <v>2.3330859137480298</v>
      </c>
      <c r="AH917" s="304">
        <f t="shared" ca="1" si="434"/>
        <v>-7.4296128532649872</v>
      </c>
    </row>
    <row r="918" spans="1:34" x14ac:dyDescent="0.2">
      <c r="A918" s="347">
        <f t="shared" ca="1" si="412"/>
        <v>1E-4</v>
      </c>
      <c r="B918" s="304">
        <f t="shared" ca="1" si="413"/>
        <v>33.639800000001529</v>
      </c>
      <c r="D918" s="306">
        <f t="shared" ca="1" si="414"/>
        <v>-0.72871457619603486</v>
      </c>
      <c r="E918" s="307">
        <f t="shared" ca="1" si="415"/>
        <v>-2.4161727813930298</v>
      </c>
      <c r="F918" s="304">
        <f t="shared" ca="1" si="416"/>
        <v>2.5236711043844635</v>
      </c>
      <c r="G918" s="306">
        <f t="shared" ca="1" si="417"/>
        <v>11.865883922884299</v>
      </c>
      <c r="H918" s="307">
        <f t="shared" ca="1" si="418"/>
        <v>-120.39694725037316</v>
      </c>
      <c r="I918" s="304">
        <f t="shared" ca="1" si="419"/>
        <v>120.9802633014183</v>
      </c>
      <c r="J918" s="306">
        <f t="shared" ca="1" si="420"/>
        <v>755.70453742140728</v>
      </c>
      <c r="K918" s="307">
        <f t="shared" ca="1" si="421"/>
        <v>-7.1702426076868733</v>
      </c>
      <c r="L918" s="304">
        <f t="shared" ca="1" si="406"/>
        <v>755.73855284639023</v>
      </c>
      <c r="M918" s="306">
        <f t="shared" ca="1" si="422"/>
        <v>-1.4725572320381131</v>
      </c>
      <c r="N918" s="304">
        <f t="shared" ca="1" si="423"/>
        <v>-84.37131448725053</v>
      </c>
      <c r="P918" s="310">
        <f t="shared" ca="1" si="424"/>
        <v>23</v>
      </c>
      <c r="Q918" s="304">
        <f t="shared" ca="1" si="425"/>
        <v>0</v>
      </c>
      <c r="R918" s="306">
        <f t="shared" ca="1" si="426"/>
        <v>0</v>
      </c>
      <c r="S918" s="307">
        <f t="shared" ca="1" si="427"/>
        <v>7.9769999999999968</v>
      </c>
      <c r="T918" s="304">
        <f t="shared" ca="1" si="407"/>
        <v>78.254369999999966</v>
      </c>
      <c r="U918" s="311">
        <f t="shared" ca="1" si="408"/>
        <v>0</v>
      </c>
      <c r="V918" s="306">
        <f t="shared" ca="1" si="409"/>
        <v>1.2258786697331998</v>
      </c>
      <c r="W918" s="304">
        <f t="shared" ca="1" si="410"/>
        <v>59.266621614045604</v>
      </c>
      <c r="Y918" s="314" t="str">
        <f t="shared" ca="1" si="428"/>
        <v/>
      </c>
      <c r="Z918" s="315" t="str">
        <f t="shared" ca="1" si="429"/>
        <v/>
      </c>
      <c r="AA918" s="316" t="str">
        <f t="shared" ca="1" si="430"/>
        <v/>
      </c>
      <c r="AC918" s="310" t="e">
        <f t="shared" ca="1" si="431"/>
        <v>#N/A</v>
      </c>
      <c r="AD918" s="323" t="e">
        <f t="shared" ca="1" si="432"/>
        <v>#N/A</v>
      </c>
      <c r="AE918" s="324" t="e">
        <f t="shared" ca="1" si="411"/>
        <v>#N/A</v>
      </c>
      <c r="AG918" s="306">
        <f t="shared" ca="1" si="433"/>
        <v>2.333049078031757</v>
      </c>
      <c r="AH918" s="304">
        <f t="shared" ca="1" si="434"/>
        <v>-7.4296504542390052</v>
      </c>
    </row>
    <row r="919" spans="1:34" x14ac:dyDescent="0.2">
      <c r="A919" s="347">
        <f t="shared" ca="1" si="412"/>
        <v>1E-4</v>
      </c>
      <c r="B919" s="304">
        <f t="shared" ca="1" si="413"/>
        <v>33.639900000001532</v>
      </c>
      <c r="D919" s="306">
        <f t="shared" ca="1" si="414"/>
        <v>-0.72871238363233881</v>
      </c>
      <c r="E919" s="307">
        <f t="shared" ca="1" si="415"/>
        <v>-2.4161347824519819</v>
      </c>
      <c r="F919" s="304">
        <f t="shared" ca="1" si="416"/>
        <v>2.5236340909556225</v>
      </c>
      <c r="G919" s="306">
        <f t="shared" ca="1" si="417"/>
        <v>11.865811051645936</v>
      </c>
      <c r="H919" s="307">
        <f t="shared" ca="1" si="418"/>
        <v>-120.39718886385141</v>
      </c>
      <c r="I919" s="304">
        <f t="shared" ca="1" si="419"/>
        <v>120.98049660268084</v>
      </c>
      <c r="J919" s="306">
        <f t="shared" ca="1" si="420"/>
        <v>755.70453742140728</v>
      </c>
      <c r="K919" s="307">
        <f t="shared" ca="1" si="421"/>
        <v>-7.1822823144925847</v>
      </c>
      <c r="L919" s="304">
        <f t="shared" ca="1" si="406"/>
        <v>755.73866717175997</v>
      </c>
      <c r="M919" s="306">
        <f t="shared" ca="1" si="422"/>
        <v>-1.4725580273531884</v>
      </c>
      <c r="N919" s="304">
        <f t="shared" ca="1" si="423"/>
        <v>-84.371360055447738</v>
      </c>
      <c r="P919" s="310">
        <f t="shared" ca="1" si="424"/>
        <v>23</v>
      </c>
      <c r="Q919" s="304">
        <f t="shared" ca="1" si="425"/>
        <v>0</v>
      </c>
      <c r="R919" s="306">
        <f t="shared" ca="1" si="426"/>
        <v>0</v>
      </c>
      <c r="S919" s="307">
        <f t="shared" ca="1" si="427"/>
        <v>7.9769999999999968</v>
      </c>
      <c r="T919" s="304">
        <f t="shared" ca="1" si="407"/>
        <v>78.254369999999966</v>
      </c>
      <c r="U919" s="311">
        <f t="shared" ca="1" si="408"/>
        <v>0</v>
      </c>
      <c r="V919" s="306">
        <f t="shared" ca="1" si="409"/>
        <v>1.2258801456562547</v>
      </c>
      <c r="W919" s="304">
        <f t="shared" ca="1" si="410"/>
        <v>59.266921552238038</v>
      </c>
      <c r="Y919" s="314" t="str">
        <f t="shared" ca="1" si="428"/>
        <v/>
      </c>
      <c r="Z919" s="315" t="str">
        <f t="shared" ca="1" si="429"/>
        <v/>
      </c>
      <c r="AA919" s="316" t="str">
        <f t="shared" ca="1" si="430"/>
        <v/>
      </c>
      <c r="AC919" s="310" t="e">
        <f t="shared" ca="1" si="431"/>
        <v>#N/A</v>
      </c>
      <c r="AD919" s="323" t="e">
        <f t="shared" ca="1" si="432"/>
        <v>#N/A</v>
      </c>
      <c r="AE919" s="324" t="e">
        <f t="shared" ca="1" si="411"/>
        <v>#N/A</v>
      </c>
      <c r="AG919" s="306">
        <f t="shared" ca="1" si="433"/>
        <v>2.3330122426011002</v>
      </c>
      <c r="AH919" s="304">
        <f t="shared" ca="1" si="434"/>
        <v>-7.42968805491358</v>
      </c>
    </row>
    <row r="920" spans="1:34" x14ac:dyDescent="0.2">
      <c r="A920" s="347">
        <f t="shared" ca="1" si="412"/>
        <v>1E-4</v>
      </c>
      <c r="B920" s="304">
        <f t="shared" ca="1" si="413"/>
        <v>33.640000000001535</v>
      </c>
      <c r="D920" s="306">
        <f t="shared" ca="1" si="414"/>
        <v>-0.72871019103808654</v>
      </c>
      <c r="E920" s="307">
        <f t="shared" ca="1" si="415"/>
        <v>-2.4160967838135372</v>
      </c>
      <c r="F920" s="304">
        <f t="shared" ca="1" si="416"/>
        <v>2.5235970778388701</v>
      </c>
      <c r="G920" s="306">
        <f t="shared" ca="1" si="417"/>
        <v>11.865738180626833</v>
      </c>
      <c r="H920" s="307">
        <f t="shared" ca="1" si="418"/>
        <v>-120.39743047352979</v>
      </c>
      <c r="I920" s="304">
        <f t="shared" ca="1" si="419"/>
        <v>120.98072990025985</v>
      </c>
      <c r="J920" s="306">
        <f t="shared" ca="1" si="420"/>
        <v>755.70453742140728</v>
      </c>
      <c r="K920" s="307">
        <f t="shared" ca="1" si="421"/>
        <v>-7.1943220454594536</v>
      </c>
      <c r="L920" s="304">
        <f t="shared" ca="1" si="406"/>
        <v>755.73878168914757</v>
      </c>
      <c r="M920" s="306">
        <f t="shared" ca="1" si="422"/>
        <v>-1.4725588226603121</v>
      </c>
      <c r="N920" s="304">
        <f t="shared" ca="1" si="423"/>
        <v>-84.371405623189332</v>
      </c>
      <c r="P920" s="310">
        <f t="shared" ca="1" si="424"/>
        <v>23</v>
      </c>
      <c r="Q920" s="304">
        <f t="shared" ca="1" si="425"/>
        <v>0</v>
      </c>
      <c r="R920" s="306">
        <f t="shared" ca="1" si="426"/>
        <v>0</v>
      </c>
      <c r="S920" s="307">
        <f t="shared" ca="1" si="427"/>
        <v>7.9769999999999968</v>
      </c>
      <c r="T920" s="304">
        <f t="shared" ca="1" si="407"/>
        <v>78.254369999999966</v>
      </c>
      <c r="U920" s="311">
        <f t="shared" ca="1" si="408"/>
        <v>0</v>
      </c>
      <c r="V920" s="306">
        <f t="shared" ca="1" si="409"/>
        <v>1.2258816215840487</v>
      </c>
      <c r="W920" s="304">
        <f t="shared" ca="1" si="410"/>
        <v>59.267221488041741</v>
      </c>
      <c r="Y920" s="314" t="str">
        <f t="shared" ca="1" si="428"/>
        <v/>
      </c>
      <c r="Z920" s="315" t="str">
        <f t="shared" ca="1" si="429"/>
        <v/>
      </c>
      <c r="AA920" s="316" t="str">
        <f t="shared" ca="1" si="430"/>
        <v/>
      </c>
      <c r="AC920" s="310" t="e">
        <f t="shared" ca="1" si="431"/>
        <v>#N/A</v>
      </c>
      <c r="AD920" s="323" t="e">
        <f t="shared" ca="1" si="432"/>
        <v>#N/A</v>
      </c>
      <c r="AE920" s="324" t="e">
        <f t="shared" ca="1" si="411"/>
        <v>#N/A</v>
      </c>
      <c r="AG920" s="306">
        <f t="shared" ca="1" si="433"/>
        <v>2.3329754074560585</v>
      </c>
      <c r="AH920" s="304">
        <f t="shared" ca="1" si="434"/>
        <v>-7.4297256552887125</v>
      </c>
    </row>
    <row r="921" spans="1:34" x14ac:dyDescent="0.2">
      <c r="A921" s="347">
        <f t="shared" ca="1" si="412"/>
        <v>1E-4</v>
      </c>
      <c r="B921" s="304">
        <f t="shared" ca="1" si="413"/>
        <v>33.640100000001539</v>
      </c>
      <c r="D921" s="306">
        <f t="shared" ca="1" si="414"/>
        <v>-0.72870799841327727</v>
      </c>
      <c r="E921" s="307">
        <f t="shared" ca="1" si="415"/>
        <v>-2.4160587854777065</v>
      </c>
      <c r="F921" s="304">
        <f t="shared" ca="1" si="416"/>
        <v>2.523560065034216</v>
      </c>
      <c r="G921" s="306">
        <f t="shared" ca="1" si="417"/>
        <v>11.865665309826992</v>
      </c>
      <c r="H921" s="307">
        <f t="shared" ca="1" si="418"/>
        <v>-120.39767207940834</v>
      </c>
      <c r="I921" s="304">
        <f t="shared" ca="1" si="419"/>
        <v>120.98096319415535</v>
      </c>
      <c r="J921" s="306">
        <f t="shared" ca="1" si="420"/>
        <v>755.70453742140728</v>
      </c>
      <c r="K921" s="307">
        <f t="shared" ca="1" si="421"/>
        <v>-7.2063618005871009</v>
      </c>
      <c r="L921" s="304">
        <f t="shared" ca="1" si="406"/>
        <v>755.73889639855383</v>
      </c>
      <c r="M921" s="306">
        <f t="shared" ca="1" si="422"/>
        <v>-1.4725596179594846</v>
      </c>
      <c r="N921" s="304">
        <f t="shared" ca="1" si="423"/>
        <v>-84.371451190475369</v>
      </c>
      <c r="P921" s="310">
        <f t="shared" ca="1" si="424"/>
        <v>23</v>
      </c>
      <c r="Q921" s="304">
        <f t="shared" ca="1" si="425"/>
        <v>0</v>
      </c>
      <c r="R921" s="306">
        <f t="shared" ca="1" si="426"/>
        <v>0</v>
      </c>
      <c r="S921" s="307">
        <f t="shared" ca="1" si="427"/>
        <v>7.9769999999999968</v>
      </c>
      <c r="T921" s="304">
        <f t="shared" ca="1" si="407"/>
        <v>78.254369999999966</v>
      </c>
      <c r="U921" s="311">
        <f t="shared" ca="1" si="408"/>
        <v>0</v>
      </c>
      <c r="V921" s="306">
        <f t="shared" ca="1" si="409"/>
        <v>1.2258830975165829</v>
      </c>
      <c r="W921" s="304">
        <f t="shared" ca="1" si="410"/>
        <v>59.267521421456806</v>
      </c>
      <c r="Y921" s="314" t="str">
        <f t="shared" ca="1" si="428"/>
        <v/>
      </c>
      <c r="Z921" s="315" t="str">
        <f t="shared" ca="1" si="429"/>
        <v/>
      </c>
      <c r="AA921" s="316" t="str">
        <f t="shared" ca="1" si="430"/>
        <v/>
      </c>
      <c r="AC921" s="310" t="e">
        <f t="shared" ca="1" si="431"/>
        <v>#N/A</v>
      </c>
      <c r="AD921" s="323" t="e">
        <f t="shared" ca="1" si="432"/>
        <v>#N/A</v>
      </c>
      <c r="AE921" s="324" t="e">
        <f t="shared" ca="1" si="411"/>
        <v>#N/A</v>
      </c>
      <c r="AG921" s="306">
        <f t="shared" ca="1" si="433"/>
        <v>2.3329385725966434</v>
      </c>
      <c r="AH921" s="304">
        <f t="shared" ca="1" si="434"/>
        <v>-7.4297632553643931</v>
      </c>
    </row>
    <row r="922" spans="1:34" x14ac:dyDescent="0.2">
      <c r="A922" s="347">
        <f t="shared" ca="1" si="412"/>
        <v>1E-4</v>
      </c>
      <c r="B922" s="304">
        <f t="shared" ca="1" si="413"/>
        <v>33.640200000001542</v>
      </c>
      <c r="D922" s="306">
        <f t="shared" ca="1" si="414"/>
        <v>-0.72870580575791055</v>
      </c>
      <c r="E922" s="307">
        <f t="shared" ca="1" si="415"/>
        <v>-2.4160207874444772</v>
      </c>
      <c r="F922" s="304">
        <f t="shared" ca="1" si="416"/>
        <v>2.5235230525416483</v>
      </c>
      <c r="G922" s="306">
        <f t="shared" ca="1" si="417"/>
        <v>11.865592439246416</v>
      </c>
      <c r="H922" s="307">
        <f t="shared" ca="1" si="418"/>
        <v>-120.39791368148708</v>
      </c>
      <c r="I922" s="304">
        <f t="shared" ca="1" si="419"/>
        <v>120.98119648436742</v>
      </c>
      <c r="J922" s="306">
        <f t="shared" ca="1" si="420"/>
        <v>755.70453742140728</v>
      </c>
      <c r="K922" s="307">
        <f t="shared" ca="1" si="421"/>
        <v>-7.2184015798751453</v>
      </c>
      <c r="L922" s="304">
        <f t="shared" ca="1" si="406"/>
        <v>755.73901129998012</v>
      </c>
      <c r="M922" s="306">
        <f t="shared" ca="1" si="422"/>
        <v>-1.4725604132507057</v>
      </c>
      <c r="N922" s="304">
        <f t="shared" ca="1" si="423"/>
        <v>-84.37149675730582</v>
      </c>
      <c r="P922" s="310">
        <f t="shared" ca="1" si="424"/>
        <v>23</v>
      </c>
      <c r="Q922" s="304">
        <f t="shared" ca="1" si="425"/>
        <v>0</v>
      </c>
      <c r="R922" s="306">
        <f t="shared" ca="1" si="426"/>
        <v>0</v>
      </c>
      <c r="S922" s="307">
        <f t="shared" ca="1" si="427"/>
        <v>7.9769999999999968</v>
      </c>
      <c r="T922" s="304">
        <f t="shared" ca="1" si="407"/>
        <v>78.254369999999966</v>
      </c>
      <c r="U922" s="311">
        <f t="shared" ca="1" si="408"/>
        <v>0</v>
      </c>
      <c r="V922" s="306">
        <f t="shared" ca="1" si="409"/>
        <v>1.2258845734538555</v>
      </c>
      <c r="W922" s="304">
        <f t="shared" ca="1" si="410"/>
        <v>59.267821352483139</v>
      </c>
      <c r="Y922" s="314" t="str">
        <f t="shared" ca="1" si="428"/>
        <v/>
      </c>
      <c r="Z922" s="315" t="str">
        <f t="shared" ca="1" si="429"/>
        <v/>
      </c>
      <c r="AA922" s="316" t="str">
        <f t="shared" ca="1" si="430"/>
        <v/>
      </c>
      <c r="AC922" s="310" t="e">
        <f t="shared" ca="1" si="431"/>
        <v>#N/A</v>
      </c>
      <c r="AD922" s="323" t="e">
        <f t="shared" ca="1" si="432"/>
        <v>#N/A</v>
      </c>
      <c r="AE922" s="324" t="e">
        <f t="shared" ca="1" si="411"/>
        <v>#N/A</v>
      </c>
      <c r="AG922" s="306">
        <f t="shared" ca="1" si="433"/>
        <v>2.3329017380228452</v>
      </c>
      <c r="AH922" s="304">
        <f t="shared" ca="1" si="434"/>
        <v>-7.4298008551406332</v>
      </c>
    </row>
    <row r="923" spans="1:34" x14ac:dyDescent="0.2">
      <c r="A923" s="347">
        <f t="shared" ca="1" si="412"/>
        <v>1E-4</v>
      </c>
      <c r="B923" s="304">
        <f t="shared" ca="1" si="413"/>
        <v>33.640300000001545</v>
      </c>
      <c r="D923" s="306">
        <f t="shared" ca="1" si="414"/>
        <v>-0.72870361307198828</v>
      </c>
      <c r="E923" s="307">
        <f t="shared" ca="1" si="415"/>
        <v>-2.4159827897138628</v>
      </c>
      <c r="F923" s="304">
        <f t="shared" ca="1" si="416"/>
        <v>2.5234860403611803</v>
      </c>
      <c r="G923" s="306">
        <f t="shared" ca="1" si="417"/>
        <v>11.865519568885109</v>
      </c>
      <c r="H923" s="307">
        <f t="shared" ca="1" si="418"/>
        <v>-120.39815527976606</v>
      </c>
      <c r="I923" s="304">
        <f t="shared" ca="1" si="419"/>
        <v>120.98142977089606</v>
      </c>
      <c r="J923" s="306">
        <f t="shared" ca="1" si="420"/>
        <v>755.70453742140728</v>
      </c>
      <c r="K923" s="307">
        <f t="shared" ca="1" si="421"/>
        <v>-7.2304413833232077</v>
      </c>
      <c r="L923" s="304">
        <f t="shared" ca="1" si="406"/>
        <v>755.73912639342745</v>
      </c>
      <c r="M923" s="306">
        <f t="shared" ca="1" si="422"/>
        <v>-1.4725612085339754</v>
      </c>
      <c r="N923" s="304">
        <f t="shared" ca="1" si="423"/>
        <v>-84.3715423236807</v>
      </c>
      <c r="P923" s="310">
        <f t="shared" ca="1" si="424"/>
        <v>23</v>
      </c>
      <c r="Q923" s="304">
        <f t="shared" ca="1" si="425"/>
        <v>0</v>
      </c>
      <c r="R923" s="306">
        <f t="shared" ca="1" si="426"/>
        <v>0</v>
      </c>
      <c r="S923" s="307">
        <f t="shared" ca="1" si="427"/>
        <v>7.9769999999999968</v>
      </c>
      <c r="T923" s="304">
        <f t="shared" ca="1" si="407"/>
        <v>78.254369999999966</v>
      </c>
      <c r="U923" s="311">
        <f t="shared" ca="1" si="408"/>
        <v>0</v>
      </c>
      <c r="V923" s="306">
        <f t="shared" ca="1" si="409"/>
        <v>1.2258860493958681</v>
      </c>
      <c r="W923" s="304">
        <f t="shared" ca="1" si="410"/>
        <v>59.268121281120841</v>
      </c>
      <c r="Y923" s="314" t="str">
        <f t="shared" ca="1" si="428"/>
        <v/>
      </c>
      <c r="Z923" s="315" t="str">
        <f t="shared" ca="1" si="429"/>
        <v/>
      </c>
      <c r="AA923" s="316" t="str">
        <f t="shared" ca="1" si="430"/>
        <v/>
      </c>
      <c r="AC923" s="310" t="e">
        <f t="shared" ca="1" si="431"/>
        <v>#N/A</v>
      </c>
      <c r="AD923" s="323" t="e">
        <f t="shared" ca="1" si="432"/>
        <v>#N/A</v>
      </c>
      <c r="AE923" s="324" t="e">
        <f t="shared" ca="1" si="411"/>
        <v>#N/A</v>
      </c>
      <c r="AG923" s="306">
        <f t="shared" ca="1" si="433"/>
        <v>2.3328649037346727</v>
      </c>
      <c r="AH923" s="304">
        <f t="shared" ca="1" si="434"/>
        <v>-7.4298384546174203</v>
      </c>
    </row>
    <row r="924" spans="1:34" x14ac:dyDescent="0.2">
      <c r="A924" s="347">
        <f t="shared" ca="1" si="412"/>
        <v>1E-4</v>
      </c>
      <c r="B924" s="304">
        <f t="shared" ca="1" si="413"/>
        <v>33.640400000001549</v>
      </c>
      <c r="D924" s="306">
        <f t="shared" ca="1" si="414"/>
        <v>-0.72870142035551344</v>
      </c>
      <c r="E924" s="307">
        <f t="shared" ca="1" si="415"/>
        <v>-2.4159447922858481</v>
      </c>
      <c r="F924" s="304">
        <f t="shared" ca="1" si="416"/>
        <v>2.5234490284927995</v>
      </c>
      <c r="G924" s="306">
        <f t="shared" ca="1" si="417"/>
        <v>11.865446698743073</v>
      </c>
      <c r="H924" s="307">
        <f t="shared" ca="1" si="418"/>
        <v>-120.39839687424529</v>
      </c>
      <c r="I924" s="304">
        <f t="shared" ca="1" si="419"/>
        <v>120.98166305374129</v>
      </c>
      <c r="J924" s="306">
        <f t="shared" ca="1" si="420"/>
        <v>755.70453742140728</v>
      </c>
      <c r="K924" s="307">
        <f t="shared" ca="1" si="421"/>
        <v>-7.242481210930908</v>
      </c>
      <c r="L924" s="304">
        <f t="shared" ca="1" si="406"/>
        <v>755.73924167889663</v>
      </c>
      <c r="M924" s="306">
        <f t="shared" ca="1" si="422"/>
        <v>-1.4725620038092941</v>
      </c>
      <c r="N924" s="304">
        <f t="shared" ca="1" si="423"/>
        <v>-84.371587889600008</v>
      </c>
      <c r="P924" s="310">
        <f t="shared" ca="1" si="424"/>
        <v>23</v>
      </c>
      <c r="Q924" s="304">
        <f t="shared" ca="1" si="425"/>
        <v>0</v>
      </c>
      <c r="R924" s="306">
        <f t="shared" ca="1" si="426"/>
        <v>0</v>
      </c>
      <c r="S924" s="307">
        <f t="shared" ca="1" si="427"/>
        <v>7.9769999999999968</v>
      </c>
      <c r="T924" s="304">
        <f t="shared" ca="1" si="407"/>
        <v>78.254369999999966</v>
      </c>
      <c r="U924" s="311">
        <f t="shared" ca="1" si="408"/>
        <v>0</v>
      </c>
      <c r="V924" s="306">
        <f t="shared" ca="1" si="409"/>
        <v>1.22588752534262</v>
      </c>
      <c r="W924" s="304">
        <f t="shared" ca="1" si="410"/>
        <v>59.268421207369826</v>
      </c>
      <c r="Y924" s="314" t="str">
        <f t="shared" ca="1" si="428"/>
        <v/>
      </c>
      <c r="Z924" s="315" t="str">
        <f t="shared" ca="1" si="429"/>
        <v/>
      </c>
      <c r="AA924" s="316" t="str">
        <f t="shared" ca="1" si="430"/>
        <v/>
      </c>
      <c r="AC924" s="310" t="e">
        <f t="shared" ca="1" si="431"/>
        <v>#N/A</v>
      </c>
      <c r="AD924" s="323" t="e">
        <f t="shared" ca="1" si="432"/>
        <v>#N/A</v>
      </c>
      <c r="AE924" s="324" t="e">
        <f t="shared" ca="1" si="411"/>
        <v>#N/A</v>
      </c>
      <c r="AG924" s="306">
        <f t="shared" ca="1" si="433"/>
        <v>2.3328280697321162</v>
      </c>
      <c r="AH924" s="304">
        <f t="shared" ca="1" si="434"/>
        <v>-7.4298760537947679</v>
      </c>
    </row>
    <row r="925" spans="1:34" x14ac:dyDescent="0.2">
      <c r="A925" s="347">
        <f t="shared" ca="1" si="412"/>
        <v>1E-4</v>
      </c>
      <c r="B925" s="304">
        <f t="shared" ca="1" si="413"/>
        <v>33.640500000001552</v>
      </c>
      <c r="D925" s="306">
        <f t="shared" ca="1" si="414"/>
        <v>-0.72869922760848316</v>
      </c>
      <c r="E925" s="307">
        <f t="shared" ca="1" si="415"/>
        <v>-2.4159067951604465</v>
      </c>
      <c r="F925" s="304">
        <f t="shared" ca="1" si="416"/>
        <v>2.5234120169365166</v>
      </c>
      <c r="G925" s="306">
        <f t="shared" ca="1" si="417"/>
        <v>11.865373828820312</v>
      </c>
      <c r="H925" s="307">
        <f t="shared" ca="1" si="418"/>
        <v>-120.39863846492482</v>
      </c>
      <c r="I925" s="304">
        <f t="shared" ca="1" si="419"/>
        <v>120.98189633290316</v>
      </c>
      <c r="J925" s="306">
        <f t="shared" ca="1" si="420"/>
        <v>755.70453742140728</v>
      </c>
      <c r="K925" s="307">
        <f t="shared" ca="1" si="421"/>
        <v>-7.2545210626978669</v>
      </c>
      <c r="L925" s="304">
        <f t="shared" ca="1" si="406"/>
        <v>755.73935715638913</v>
      </c>
      <c r="M925" s="306">
        <f t="shared" ca="1" si="422"/>
        <v>-1.4725627990766621</v>
      </c>
      <c r="N925" s="304">
        <f t="shared" ca="1" si="423"/>
        <v>-84.371633455063773</v>
      </c>
      <c r="P925" s="310">
        <f t="shared" ca="1" si="424"/>
        <v>23</v>
      </c>
      <c r="Q925" s="304">
        <f t="shared" ca="1" si="425"/>
        <v>0</v>
      </c>
      <c r="R925" s="306">
        <f t="shared" ca="1" si="426"/>
        <v>0</v>
      </c>
      <c r="S925" s="307">
        <f t="shared" ca="1" si="427"/>
        <v>7.9769999999999968</v>
      </c>
      <c r="T925" s="304">
        <f t="shared" ca="1" si="407"/>
        <v>78.254369999999966</v>
      </c>
      <c r="U925" s="311">
        <f t="shared" ca="1" si="408"/>
        <v>0</v>
      </c>
      <c r="V925" s="306">
        <f t="shared" ca="1" si="409"/>
        <v>1.2258890012941115</v>
      </c>
      <c r="W925" s="304">
        <f t="shared" ca="1" si="410"/>
        <v>59.268721131230159</v>
      </c>
      <c r="Y925" s="314" t="str">
        <f t="shared" ca="1" si="428"/>
        <v/>
      </c>
      <c r="Z925" s="315" t="str">
        <f t="shared" ca="1" si="429"/>
        <v/>
      </c>
      <c r="AA925" s="316" t="str">
        <f t="shared" ca="1" si="430"/>
        <v/>
      </c>
      <c r="AC925" s="310" t="e">
        <f t="shared" ca="1" si="431"/>
        <v>#N/A</v>
      </c>
      <c r="AD925" s="323" t="e">
        <f t="shared" ca="1" si="432"/>
        <v>#N/A</v>
      </c>
      <c r="AE925" s="324" t="e">
        <f t="shared" ca="1" si="411"/>
        <v>#N/A</v>
      </c>
      <c r="AG925" s="306">
        <f t="shared" ca="1" si="433"/>
        <v>2.3327912360151846</v>
      </c>
      <c r="AH925" s="304">
        <f t="shared" ca="1" si="434"/>
        <v>-7.4299136526726652</v>
      </c>
    </row>
    <row r="926" spans="1:34" x14ac:dyDescent="0.2">
      <c r="A926" s="347">
        <f t="shared" ca="1" si="412"/>
        <v>1E-4</v>
      </c>
      <c r="B926" s="304">
        <f t="shared" ca="1" si="413"/>
        <v>33.640600000001555</v>
      </c>
      <c r="D926" s="306">
        <f t="shared" ca="1" si="414"/>
        <v>-0.72869703483089832</v>
      </c>
      <c r="E926" s="307">
        <f t="shared" ca="1" si="415"/>
        <v>-2.415868798337649</v>
      </c>
      <c r="F926" s="304">
        <f t="shared" ca="1" si="416"/>
        <v>2.5233750056923245</v>
      </c>
      <c r="G926" s="306">
        <f t="shared" ca="1" si="417"/>
        <v>11.865300959116828</v>
      </c>
      <c r="H926" s="307">
        <f t="shared" ca="1" si="418"/>
        <v>-120.39888005180465</v>
      </c>
      <c r="I926" s="304">
        <f t="shared" ca="1" si="419"/>
        <v>120.98212960838168</v>
      </c>
      <c r="J926" s="306">
        <f t="shared" ca="1" si="420"/>
        <v>755.70453742140728</v>
      </c>
      <c r="K926" s="307">
        <f t="shared" ca="1" si="421"/>
        <v>-7.2665609386237033</v>
      </c>
      <c r="L926" s="304">
        <f t="shared" ca="1" si="406"/>
        <v>755.73947282590564</v>
      </c>
      <c r="M926" s="306">
        <f t="shared" ca="1" si="422"/>
        <v>-1.4725635943360789</v>
      </c>
      <c r="N926" s="304">
        <f t="shared" ca="1" si="423"/>
        <v>-84.37167902007198</v>
      </c>
      <c r="P926" s="310">
        <f t="shared" ca="1" si="424"/>
        <v>23</v>
      </c>
      <c r="Q926" s="304">
        <f t="shared" ca="1" si="425"/>
        <v>0</v>
      </c>
      <c r="R926" s="306">
        <f t="shared" ca="1" si="426"/>
        <v>0</v>
      </c>
      <c r="S926" s="307">
        <f t="shared" ca="1" si="427"/>
        <v>7.9769999999999968</v>
      </c>
      <c r="T926" s="304">
        <f t="shared" ca="1" si="407"/>
        <v>78.254369999999966</v>
      </c>
      <c r="U926" s="311">
        <f t="shared" ca="1" si="408"/>
        <v>0</v>
      </c>
      <c r="V926" s="306">
        <f t="shared" ca="1" si="409"/>
        <v>1.2258904772503418</v>
      </c>
      <c r="W926" s="304">
        <f t="shared" ca="1" si="410"/>
        <v>59.269021052701753</v>
      </c>
      <c r="Y926" s="314" t="str">
        <f t="shared" ca="1" si="428"/>
        <v/>
      </c>
      <c r="Z926" s="315" t="str">
        <f t="shared" ca="1" si="429"/>
        <v/>
      </c>
      <c r="AA926" s="316" t="str">
        <f t="shared" ca="1" si="430"/>
        <v/>
      </c>
      <c r="AC926" s="310" t="e">
        <f t="shared" ca="1" si="431"/>
        <v>#N/A</v>
      </c>
      <c r="AD926" s="323" t="e">
        <f t="shared" ca="1" si="432"/>
        <v>#N/A</v>
      </c>
      <c r="AE926" s="324" t="e">
        <f t="shared" ca="1" si="411"/>
        <v>#N/A</v>
      </c>
      <c r="AG926" s="306">
        <f t="shared" ca="1" si="433"/>
        <v>2.3327544025838707</v>
      </c>
      <c r="AH926" s="304">
        <f t="shared" ca="1" si="434"/>
        <v>-7.4299512512511194</v>
      </c>
    </row>
    <row r="927" spans="1:34" x14ac:dyDescent="0.2">
      <c r="A927" s="347">
        <f t="shared" ca="1" si="412"/>
        <v>1E-4</v>
      </c>
      <c r="B927" s="304">
        <f t="shared" ca="1" si="413"/>
        <v>33.640700000001559</v>
      </c>
      <c r="D927" s="306">
        <f t="shared" ca="1" si="414"/>
        <v>-0.72869484202276291</v>
      </c>
      <c r="E927" s="307">
        <f t="shared" ca="1" si="415"/>
        <v>-2.4158308018174646</v>
      </c>
      <c r="F927" s="304">
        <f t="shared" ca="1" si="416"/>
        <v>2.523337994760233</v>
      </c>
      <c r="G927" s="306">
        <f t="shared" ca="1" si="417"/>
        <v>11.865228089632625</v>
      </c>
      <c r="H927" s="307">
        <f t="shared" ca="1" si="418"/>
        <v>-120.39912163488484</v>
      </c>
      <c r="I927" s="304">
        <f t="shared" ca="1" si="419"/>
        <v>120.98236288017688</v>
      </c>
      <c r="J927" s="306">
        <f t="shared" ca="1" si="420"/>
        <v>755.70453742140728</v>
      </c>
      <c r="K927" s="307">
        <f t="shared" ca="1" si="421"/>
        <v>-7.2786008387080381</v>
      </c>
      <c r="L927" s="304">
        <f t="shared" ca="1" si="406"/>
        <v>755.73958868744751</v>
      </c>
      <c r="M927" s="306">
        <f t="shared" ca="1" si="422"/>
        <v>-1.4725643895875451</v>
      </c>
      <c r="N927" s="304">
        <f t="shared" ca="1" si="423"/>
        <v>-84.371724584624644</v>
      </c>
      <c r="P927" s="310">
        <f t="shared" ca="1" si="424"/>
        <v>23</v>
      </c>
      <c r="Q927" s="304">
        <f t="shared" ca="1" si="425"/>
        <v>0</v>
      </c>
      <c r="R927" s="306">
        <f t="shared" ca="1" si="426"/>
        <v>0</v>
      </c>
      <c r="S927" s="307">
        <f t="shared" ca="1" si="427"/>
        <v>7.9769999999999968</v>
      </c>
      <c r="T927" s="304">
        <f t="shared" ca="1" si="407"/>
        <v>78.254369999999966</v>
      </c>
      <c r="U927" s="311">
        <f t="shared" ca="1" si="408"/>
        <v>0</v>
      </c>
      <c r="V927" s="306">
        <f t="shared" ca="1" si="409"/>
        <v>1.2258919532113115</v>
      </c>
      <c r="W927" s="304">
        <f t="shared" ca="1" si="410"/>
        <v>59.269320971784659</v>
      </c>
      <c r="Y927" s="314" t="str">
        <f t="shared" ca="1" si="428"/>
        <v/>
      </c>
      <c r="Z927" s="315" t="str">
        <f t="shared" ca="1" si="429"/>
        <v/>
      </c>
      <c r="AA927" s="316" t="str">
        <f t="shared" ca="1" si="430"/>
        <v/>
      </c>
      <c r="AC927" s="310" t="e">
        <f t="shared" ca="1" si="431"/>
        <v>#N/A</v>
      </c>
      <c r="AD927" s="323" t="e">
        <f t="shared" ca="1" si="432"/>
        <v>#N/A</v>
      </c>
      <c r="AE927" s="324" t="e">
        <f t="shared" ca="1" si="411"/>
        <v>#N/A</v>
      </c>
      <c r="AG927" s="306">
        <f t="shared" ca="1" si="433"/>
        <v>2.332717569438187</v>
      </c>
      <c r="AH927" s="304">
        <f t="shared" ca="1" si="434"/>
        <v>-7.4299888495301216</v>
      </c>
    </row>
    <row r="928" spans="1:34" x14ac:dyDescent="0.2">
      <c r="A928" s="347">
        <f t="shared" ca="1" si="412"/>
        <v>1E-4</v>
      </c>
      <c r="B928" s="304">
        <f t="shared" ca="1" si="413"/>
        <v>33.640800000001562</v>
      </c>
      <c r="D928" s="306">
        <f t="shared" ca="1" si="414"/>
        <v>-0.72869264918407384</v>
      </c>
      <c r="E928" s="307">
        <f t="shared" ca="1" si="415"/>
        <v>-2.4157928055998905</v>
      </c>
      <c r="F928" s="304">
        <f t="shared" ca="1" si="416"/>
        <v>2.5233009841402381</v>
      </c>
      <c r="G928" s="306">
        <f t="shared" ca="1" si="417"/>
        <v>11.865155220367706</v>
      </c>
      <c r="H928" s="307">
        <f t="shared" ca="1" si="418"/>
        <v>-120.39936321416539</v>
      </c>
      <c r="I928" s="304">
        <f t="shared" ca="1" si="419"/>
        <v>120.98259614828878</v>
      </c>
      <c r="J928" s="306">
        <f t="shared" ca="1" si="420"/>
        <v>755.70453742140728</v>
      </c>
      <c r="K928" s="307">
        <f t="shared" ca="1" si="421"/>
        <v>-7.290640762950491</v>
      </c>
      <c r="L928" s="304">
        <f t="shared" ca="1" si="406"/>
        <v>755.73970474101566</v>
      </c>
      <c r="M928" s="306">
        <f t="shared" ca="1" si="422"/>
        <v>-1.4725651848310606</v>
      </c>
      <c r="N928" s="304">
        <f t="shared" ca="1" si="423"/>
        <v>-84.371770148721765</v>
      </c>
      <c r="P928" s="310">
        <f t="shared" ca="1" si="424"/>
        <v>23</v>
      </c>
      <c r="Q928" s="304">
        <f t="shared" ca="1" si="425"/>
        <v>0</v>
      </c>
      <c r="R928" s="306">
        <f t="shared" ca="1" si="426"/>
        <v>0</v>
      </c>
      <c r="S928" s="307">
        <f t="shared" ca="1" si="427"/>
        <v>7.9769999999999968</v>
      </c>
      <c r="T928" s="304">
        <f t="shared" ca="1" si="407"/>
        <v>78.254369999999966</v>
      </c>
      <c r="U928" s="311">
        <f t="shared" ca="1" si="408"/>
        <v>0</v>
      </c>
      <c r="V928" s="306">
        <f t="shared" ca="1" si="409"/>
        <v>1.22589342917702</v>
      </c>
      <c r="W928" s="304">
        <f t="shared" ca="1" si="410"/>
        <v>59.269620888478826</v>
      </c>
      <c r="Y928" s="314" t="str">
        <f t="shared" ca="1" si="428"/>
        <v/>
      </c>
      <c r="Z928" s="315" t="str">
        <f t="shared" ca="1" si="429"/>
        <v/>
      </c>
      <c r="AA928" s="316" t="str">
        <f t="shared" ca="1" si="430"/>
        <v/>
      </c>
      <c r="AC928" s="310" t="e">
        <f t="shared" ca="1" si="431"/>
        <v>#N/A</v>
      </c>
      <c r="AD928" s="323" t="e">
        <f t="shared" ca="1" si="432"/>
        <v>#N/A</v>
      </c>
      <c r="AE928" s="324" t="e">
        <f t="shared" ca="1" si="411"/>
        <v>#N/A</v>
      </c>
      <c r="AG928" s="306">
        <f t="shared" ca="1" si="433"/>
        <v>2.3326807365781264</v>
      </c>
      <c r="AH928" s="304">
        <f t="shared" ca="1" si="434"/>
        <v>-7.4300264475096753</v>
      </c>
    </row>
    <row r="929" spans="1:34" x14ac:dyDescent="0.2">
      <c r="A929" s="347">
        <f t="shared" ca="1" si="412"/>
        <v>1E-4</v>
      </c>
      <c r="B929" s="304">
        <f t="shared" ca="1" si="413"/>
        <v>33.640900000001565</v>
      </c>
      <c r="D929" s="306">
        <f t="shared" ca="1" si="414"/>
        <v>-0.72869045631483398</v>
      </c>
      <c r="E929" s="307">
        <f t="shared" ca="1" si="415"/>
        <v>-2.4157548096849295</v>
      </c>
      <c r="F929" s="304">
        <f t="shared" ca="1" si="416"/>
        <v>2.5232639738323437</v>
      </c>
      <c r="G929" s="306">
        <f t="shared" ca="1" si="417"/>
        <v>11.865082351322075</v>
      </c>
      <c r="H929" s="307">
        <f t="shared" ca="1" si="418"/>
        <v>-120.39960478964636</v>
      </c>
      <c r="I929" s="304">
        <f t="shared" ca="1" si="419"/>
        <v>120.98282941271745</v>
      </c>
      <c r="J929" s="306">
        <f t="shared" ca="1" si="420"/>
        <v>755.70453742140728</v>
      </c>
      <c r="K929" s="307">
        <f t="shared" ca="1" si="421"/>
        <v>-7.302680711350682</v>
      </c>
      <c r="L929" s="304">
        <f t="shared" ca="1" si="406"/>
        <v>755.73982098661111</v>
      </c>
      <c r="M929" s="306">
        <f t="shared" ca="1" si="422"/>
        <v>-1.4725659800666255</v>
      </c>
      <c r="N929" s="304">
        <f t="shared" ca="1" si="423"/>
        <v>-84.371815712363357</v>
      </c>
      <c r="P929" s="310">
        <f t="shared" ca="1" si="424"/>
        <v>23</v>
      </c>
      <c r="Q929" s="304">
        <f t="shared" ca="1" si="425"/>
        <v>0</v>
      </c>
      <c r="R929" s="306">
        <f t="shared" ca="1" si="426"/>
        <v>0</v>
      </c>
      <c r="S929" s="307">
        <f t="shared" ca="1" si="427"/>
        <v>7.9769999999999968</v>
      </c>
      <c r="T929" s="304">
        <f t="shared" ca="1" si="407"/>
        <v>78.254369999999966</v>
      </c>
      <c r="U929" s="311">
        <f t="shared" ca="1" si="408"/>
        <v>0</v>
      </c>
      <c r="V929" s="306">
        <f t="shared" ca="1" si="409"/>
        <v>1.2258949051474684</v>
      </c>
      <c r="W929" s="304">
        <f t="shared" ca="1" si="410"/>
        <v>59.269920802784348</v>
      </c>
      <c r="Y929" s="314" t="str">
        <f t="shared" ca="1" si="428"/>
        <v/>
      </c>
      <c r="Z929" s="315" t="str">
        <f t="shared" ca="1" si="429"/>
        <v/>
      </c>
      <c r="AA929" s="316" t="str">
        <f t="shared" ca="1" si="430"/>
        <v/>
      </c>
      <c r="AC929" s="310" t="e">
        <f t="shared" ca="1" si="431"/>
        <v>#N/A</v>
      </c>
      <c r="AD929" s="323" t="e">
        <f t="shared" ca="1" si="432"/>
        <v>#N/A</v>
      </c>
      <c r="AE929" s="324" t="e">
        <f t="shared" ca="1" si="411"/>
        <v>#N/A</v>
      </c>
      <c r="AG929" s="306">
        <f t="shared" ca="1" si="433"/>
        <v>2.3326439040036941</v>
      </c>
      <c r="AH929" s="304">
        <f t="shared" ca="1" si="434"/>
        <v>-7.430064045189777</v>
      </c>
    </row>
    <row r="930" spans="1:34" x14ac:dyDescent="0.2">
      <c r="A930" s="347">
        <f t="shared" ca="1" si="412"/>
        <v>1E-4</v>
      </c>
      <c r="B930" s="304">
        <f t="shared" ca="1" si="413"/>
        <v>33.641000000001569</v>
      </c>
      <c r="D930" s="306">
        <f t="shared" ca="1" si="414"/>
        <v>-0.72868826341504456</v>
      </c>
      <c r="E930" s="307">
        <f t="shared" ca="1" si="415"/>
        <v>-2.4157168140725735</v>
      </c>
      <c r="F930" s="304">
        <f t="shared" ca="1" si="416"/>
        <v>2.5232269638365428</v>
      </c>
      <c r="G930" s="306">
        <f t="shared" ca="1" si="417"/>
        <v>11.865009482495733</v>
      </c>
      <c r="H930" s="307">
        <f t="shared" ca="1" si="418"/>
        <v>-120.39984636132777</v>
      </c>
      <c r="I930" s="304">
        <f t="shared" ca="1" si="419"/>
        <v>120.98306267346288</v>
      </c>
      <c r="J930" s="306">
        <f t="shared" ca="1" si="420"/>
        <v>755.70453742140728</v>
      </c>
      <c r="K930" s="307">
        <f t="shared" ca="1" si="421"/>
        <v>-7.3147206839082308</v>
      </c>
      <c r="L930" s="304">
        <f t="shared" ca="1" si="406"/>
        <v>755.73993742423511</v>
      </c>
      <c r="M930" s="306">
        <f t="shared" ca="1" si="422"/>
        <v>-1.4725667752942402</v>
      </c>
      <c r="N930" s="304">
        <f t="shared" ca="1" si="423"/>
        <v>-84.371861275549421</v>
      </c>
      <c r="P930" s="310">
        <f t="shared" ca="1" si="424"/>
        <v>23</v>
      </c>
      <c r="Q930" s="304">
        <f t="shared" ca="1" si="425"/>
        <v>0</v>
      </c>
      <c r="R930" s="306">
        <f t="shared" ca="1" si="426"/>
        <v>0</v>
      </c>
      <c r="S930" s="307">
        <f t="shared" ca="1" si="427"/>
        <v>7.9769999999999968</v>
      </c>
      <c r="T930" s="304">
        <f t="shared" ca="1" si="407"/>
        <v>78.254369999999966</v>
      </c>
      <c r="U930" s="311">
        <f t="shared" ca="1" si="408"/>
        <v>0</v>
      </c>
      <c r="V930" s="306">
        <f t="shared" ca="1" si="409"/>
        <v>1.225896381122656</v>
      </c>
      <c r="W930" s="304">
        <f t="shared" ca="1" si="410"/>
        <v>59.270220714701146</v>
      </c>
      <c r="Y930" s="314" t="str">
        <f t="shared" ca="1" si="428"/>
        <v/>
      </c>
      <c r="Z930" s="315" t="str">
        <f t="shared" ca="1" si="429"/>
        <v/>
      </c>
      <c r="AA930" s="316" t="str">
        <f t="shared" ca="1" si="430"/>
        <v/>
      </c>
      <c r="AC930" s="310" t="e">
        <f t="shared" ca="1" si="431"/>
        <v>#N/A</v>
      </c>
      <c r="AD930" s="323" t="e">
        <f t="shared" ca="1" si="432"/>
        <v>#N/A</v>
      </c>
      <c r="AE930" s="324" t="e">
        <f t="shared" ca="1" si="411"/>
        <v>#N/A</v>
      </c>
      <c r="AG930" s="306">
        <f t="shared" ca="1" si="433"/>
        <v>2.3326070717148824</v>
      </c>
      <c r="AH930" s="304">
        <f t="shared" ca="1" si="434"/>
        <v>-7.4301016425704365</v>
      </c>
    </row>
    <row r="931" spans="1:34" x14ac:dyDescent="0.2">
      <c r="A931" s="347">
        <f t="shared" ca="1" si="412"/>
        <v>1E-4</v>
      </c>
      <c r="B931" s="304">
        <f t="shared" ca="1" si="413"/>
        <v>33.641100000001572</v>
      </c>
      <c r="D931" s="306">
        <f t="shared" ca="1" si="414"/>
        <v>-0.72868607048470435</v>
      </c>
      <c r="E931" s="307">
        <f t="shared" ca="1" si="415"/>
        <v>-2.4156788187628289</v>
      </c>
      <c r="F931" s="304">
        <f t="shared" ca="1" si="416"/>
        <v>2.5231899541528411</v>
      </c>
      <c r="G931" s="306">
        <f t="shared" ca="1" si="417"/>
        <v>11.864936613888684</v>
      </c>
      <c r="H931" s="307">
        <f t="shared" ca="1" si="418"/>
        <v>-120.40008792920965</v>
      </c>
      <c r="I931" s="304">
        <f t="shared" ca="1" si="419"/>
        <v>120.9832959305251</v>
      </c>
      <c r="J931" s="306">
        <f t="shared" ca="1" si="420"/>
        <v>755.70453742140728</v>
      </c>
      <c r="K931" s="307">
        <f t="shared" ca="1" si="421"/>
        <v>-7.3267606806227574</v>
      </c>
      <c r="L931" s="304">
        <f t="shared" ca="1" si="406"/>
        <v>755.74005405388846</v>
      </c>
      <c r="M931" s="306">
        <f t="shared" ca="1" si="422"/>
        <v>-1.4725675705139045</v>
      </c>
      <c r="N931" s="304">
        <f t="shared" ca="1" si="423"/>
        <v>-84.371906838279983</v>
      </c>
      <c r="P931" s="310">
        <f t="shared" ca="1" si="424"/>
        <v>23</v>
      </c>
      <c r="Q931" s="304">
        <f t="shared" ca="1" si="425"/>
        <v>0</v>
      </c>
      <c r="R931" s="306">
        <f t="shared" ca="1" si="426"/>
        <v>0</v>
      </c>
      <c r="S931" s="307">
        <f t="shared" ca="1" si="427"/>
        <v>7.9769999999999968</v>
      </c>
      <c r="T931" s="304">
        <f t="shared" ca="1" si="407"/>
        <v>78.254369999999966</v>
      </c>
      <c r="U931" s="311">
        <f t="shared" ca="1" si="408"/>
        <v>0</v>
      </c>
      <c r="V931" s="306">
        <f t="shared" ca="1" si="409"/>
        <v>1.2258978571025823</v>
      </c>
      <c r="W931" s="304">
        <f t="shared" ca="1" si="410"/>
        <v>59.270520624229214</v>
      </c>
      <c r="Y931" s="314" t="str">
        <f t="shared" ca="1" si="428"/>
        <v/>
      </c>
      <c r="Z931" s="315" t="str">
        <f t="shared" ca="1" si="429"/>
        <v/>
      </c>
      <c r="AA931" s="316" t="str">
        <f t="shared" ca="1" si="430"/>
        <v/>
      </c>
      <c r="AC931" s="310" t="e">
        <f t="shared" ca="1" si="431"/>
        <v>#N/A</v>
      </c>
      <c r="AD931" s="323" t="e">
        <f t="shared" ca="1" si="432"/>
        <v>#N/A</v>
      </c>
      <c r="AE931" s="324" t="e">
        <f t="shared" ca="1" si="411"/>
        <v>#N/A</v>
      </c>
      <c r="AG931" s="306">
        <f t="shared" ca="1" si="433"/>
        <v>2.3325702397116981</v>
      </c>
      <c r="AH931" s="304">
        <f t="shared" ca="1" si="434"/>
        <v>-7.4301392396516448</v>
      </c>
    </row>
    <row r="932" spans="1:34" x14ac:dyDescent="0.2">
      <c r="A932" s="347">
        <f t="shared" ca="1" si="412"/>
        <v>1E-4</v>
      </c>
      <c r="B932" s="304">
        <f t="shared" ca="1" si="413"/>
        <v>33.641200000001575</v>
      </c>
      <c r="D932" s="306">
        <f t="shared" ca="1" si="414"/>
        <v>-0.72868387752381514</v>
      </c>
      <c r="E932" s="307">
        <f t="shared" ca="1" si="415"/>
        <v>-2.4156408237556981</v>
      </c>
      <c r="F932" s="304">
        <f t="shared" ca="1" si="416"/>
        <v>2.5231529447812413</v>
      </c>
      <c r="G932" s="306">
        <f t="shared" ca="1" si="417"/>
        <v>11.864863745500932</v>
      </c>
      <c r="H932" s="307">
        <f t="shared" ca="1" si="418"/>
        <v>-120.40032949329202</v>
      </c>
      <c r="I932" s="304">
        <f t="shared" ca="1" si="419"/>
        <v>120.98352918390414</v>
      </c>
      <c r="J932" s="306">
        <f t="shared" ca="1" si="420"/>
        <v>755.70453742140728</v>
      </c>
      <c r="K932" s="307">
        <f t="shared" ca="1" si="421"/>
        <v>-7.3388007014938825</v>
      </c>
      <c r="L932" s="304">
        <f t="shared" ca="1" si="406"/>
        <v>755.7401708755724</v>
      </c>
      <c r="M932" s="306">
        <f t="shared" ca="1" si="422"/>
        <v>-1.4725683657256188</v>
      </c>
      <c r="N932" s="304">
        <f t="shared" ca="1" si="423"/>
        <v>-84.371952400555031</v>
      </c>
      <c r="P932" s="310">
        <f t="shared" ca="1" si="424"/>
        <v>23</v>
      </c>
      <c r="Q932" s="304">
        <f t="shared" ca="1" si="425"/>
        <v>0</v>
      </c>
      <c r="R932" s="306">
        <f t="shared" ca="1" si="426"/>
        <v>0</v>
      </c>
      <c r="S932" s="307">
        <f t="shared" ca="1" si="427"/>
        <v>7.9769999999999968</v>
      </c>
      <c r="T932" s="304">
        <f t="shared" ca="1" si="407"/>
        <v>78.254369999999966</v>
      </c>
      <c r="U932" s="311">
        <f t="shared" ca="1" si="408"/>
        <v>0</v>
      </c>
      <c r="V932" s="306">
        <f t="shared" ca="1" si="409"/>
        <v>1.2258993330872476</v>
      </c>
      <c r="W932" s="304">
        <f t="shared" ca="1" si="410"/>
        <v>59.27082053136855</v>
      </c>
      <c r="Y932" s="314" t="str">
        <f t="shared" ca="1" si="428"/>
        <v/>
      </c>
      <c r="Z932" s="315" t="str">
        <f t="shared" ca="1" si="429"/>
        <v/>
      </c>
      <c r="AA932" s="316" t="str">
        <f t="shared" ca="1" si="430"/>
        <v/>
      </c>
      <c r="AC932" s="310" t="e">
        <f t="shared" ca="1" si="431"/>
        <v>#N/A</v>
      </c>
      <c r="AD932" s="323" t="e">
        <f t="shared" ca="1" si="432"/>
        <v>#N/A</v>
      </c>
      <c r="AE932" s="324" t="e">
        <f t="shared" ca="1" si="411"/>
        <v>#N/A</v>
      </c>
      <c r="AG932" s="306">
        <f t="shared" ca="1" si="433"/>
        <v>2.3325334079941422</v>
      </c>
      <c r="AH932" s="304">
        <f t="shared" ca="1" si="434"/>
        <v>-7.4301768364334011</v>
      </c>
    </row>
    <row r="933" spans="1:34" x14ac:dyDescent="0.2">
      <c r="A933" s="347">
        <f t="shared" ca="1" si="412"/>
        <v>1E-4</v>
      </c>
      <c r="B933" s="304">
        <f t="shared" ca="1" si="413"/>
        <v>33.641300000001578</v>
      </c>
      <c r="D933" s="306">
        <f t="shared" ca="1" si="414"/>
        <v>-0.72868168453237669</v>
      </c>
      <c r="E933" s="307">
        <f t="shared" ca="1" si="415"/>
        <v>-2.4156028290511813</v>
      </c>
      <c r="F933" s="304">
        <f t="shared" ca="1" si="416"/>
        <v>2.5231159357217443</v>
      </c>
      <c r="G933" s="306">
        <f t="shared" ca="1" si="417"/>
        <v>11.864790877332478</v>
      </c>
      <c r="H933" s="307">
        <f t="shared" ca="1" si="418"/>
        <v>-120.40057105357492</v>
      </c>
      <c r="I933" s="304">
        <f t="shared" ca="1" si="419"/>
        <v>120.98376243360005</v>
      </c>
      <c r="J933" s="306">
        <f t="shared" ca="1" si="420"/>
        <v>755.70453742140728</v>
      </c>
      <c r="K933" s="307">
        <f t="shared" ca="1" si="421"/>
        <v>-7.350840746521226</v>
      </c>
      <c r="L933" s="304">
        <f t="shared" ca="1" si="406"/>
        <v>755.74028788928797</v>
      </c>
      <c r="M933" s="306">
        <f t="shared" ca="1" si="422"/>
        <v>-1.4725691609293829</v>
      </c>
      <c r="N933" s="304">
        <f t="shared" ca="1" si="423"/>
        <v>-84.371997962374564</v>
      </c>
      <c r="P933" s="310">
        <f t="shared" ca="1" si="424"/>
        <v>23</v>
      </c>
      <c r="Q933" s="304">
        <f t="shared" ca="1" si="425"/>
        <v>0</v>
      </c>
      <c r="R933" s="306">
        <f t="shared" ca="1" si="426"/>
        <v>0</v>
      </c>
      <c r="S933" s="307">
        <f t="shared" ca="1" si="427"/>
        <v>7.9769999999999968</v>
      </c>
      <c r="T933" s="304">
        <f t="shared" ca="1" si="407"/>
        <v>78.254369999999966</v>
      </c>
      <c r="U933" s="311">
        <f t="shared" ca="1" si="408"/>
        <v>0</v>
      </c>
      <c r="V933" s="306">
        <f t="shared" ca="1" si="409"/>
        <v>1.2259008090766521</v>
      </c>
      <c r="W933" s="304">
        <f t="shared" ca="1" si="410"/>
        <v>59.27112043611919</v>
      </c>
      <c r="Y933" s="314" t="str">
        <f t="shared" ca="1" si="428"/>
        <v/>
      </c>
      <c r="Z933" s="315" t="str">
        <f t="shared" ca="1" si="429"/>
        <v/>
      </c>
      <c r="AA933" s="316" t="str">
        <f t="shared" ca="1" si="430"/>
        <v/>
      </c>
      <c r="AC933" s="310" t="e">
        <f t="shared" ca="1" si="431"/>
        <v>#N/A</v>
      </c>
      <c r="AD933" s="323" t="e">
        <f t="shared" ca="1" si="432"/>
        <v>#N/A</v>
      </c>
      <c r="AE933" s="324" t="e">
        <f t="shared" ca="1" si="411"/>
        <v>#N/A</v>
      </c>
      <c r="AG933" s="306">
        <f t="shared" ca="1" si="433"/>
        <v>2.3324965765622192</v>
      </c>
      <c r="AH933" s="304">
        <f t="shared" ca="1" si="434"/>
        <v>-7.4302144329157045</v>
      </c>
    </row>
    <row r="934" spans="1:34" x14ac:dyDescent="0.2">
      <c r="A934" s="347">
        <f t="shared" ca="1" si="412"/>
        <v>1E-4</v>
      </c>
      <c r="B934" s="304">
        <f t="shared" ca="1" si="413"/>
        <v>33.641400000001582</v>
      </c>
      <c r="D934" s="306">
        <f t="shared" ca="1" si="414"/>
        <v>-0.72867949151039102</v>
      </c>
      <c r="E934" s="307">
        <f t="shared" ca="1" si="415"/>
        <v>-2.415564834649274</v>
      </c>
      <c r="F934" s="304">
        <f t="shared" ca="1" si="416"/>
        <v>2.5230789269743457</v>
      </c>
      <c r="G934" s="306">
        <f t="shared" ca="1" si="417"/>
        <v>11.864718009383328</v>
      </c>
      <c r="H934" s="307">
        <f t="shared" ca="1" si="418"/>
        <v>-120.40081261005838</v>
      </c>
      <c r="I934" s="304">
        <f t="shared" ca="1" si="419"/>
        <v>120.98399567961283</v>
      </c>
      <c r="J934" s="306">
        <f t="shared" ca="1" si="420"/>
        <v>755.70453742140728</v>
      </c>
      <c r="K934" s="307">
        <f t="shared" ca="1" si="421"/>
        <v>-7.3628808157044077</v>
      </c>
      <c r="L934" s="304">
        <f t="shared" ca="1" si="406"/>
        <v>755.74040509503618</v>
      </c>
      <c r="M934" s="306">
        <f t="shared" ca="1" si="422"/>
        <v>-1.472569956125197</v>
      </c>
      <c r="N934" s="304">
        <f t="shared" ca="1" si="423"/>
        <v>-84.372043523738597</v>
      </c>
      <c r="P934" s="310">
        <f t="shared" ca="1" si="424"/>
        <v>23</v>
      </c>
      <c r="Q934" s="304">
        <f t="shared" ca="1" si="425"/>
        <v>0</v>
      </c>
      <c r="R934" s="306">
        <f t="shared" ca="1" si="426"/>
        <v>0</v>
      </c>
      <c r="S934" s="307">
        <f t="shared" ca="1" si="427"/>
        <v>7.9769999999999968</v>
      </c>
      <c r="T934" s="304">
        <f t="shared" ca="1" si="407"/>
        <v>78.254369999999966</v>
      </c>
      <c r="U934" s="311">
        <f t="shared" ca="1" si="408"/>
        <v>0</v>
      </c>
      <c r="V934" s="306">
        <f t="shared" ca="1" si="409"/>
        <v>1.2259022850707959</v>
      </c>
      <c r="W934" s="304">
        <f t="shared" ca="1" si="410"/>
        <v>59.2714203384811</v>
      </c>
      <c r="Y934" s="314" t="str">
        <f t="shared" ca="1" si="428"/>
        <v/>
      </c>
      <c r="Z934" s="315" t="str">
        <f t="shared" ca="1" si="429"/>
        <v/>
      </c>
      <c r="AA934" s="316" t="str">
        <f t="shared" ca="1" si="430"/>
        <v/>
      </c>
      <c r="AC934" s="310" t="e">
        <f t="shared" ca="1" si="431"/>
        <v>#N/A</v>
      </c>
      <c r="AD934" s="323" t="e">
        <f t="shared" ca="1" si="432"/>
        <v>#N/A</v>
      </c>
      <c r="AE934" s="324" t="e">
        <f t="shared" ca="1" si="411"/>
        <v>#N/A</v>
      </c>
      <c r="AG934" s="306">
        <f t="shared" ca="1" si="433"/>
        <v>2.3324597454159202</v>
      </c>
      <c r="AH934" s="304">
        <f t="shared" ca="1" si="434"/>
        <v>-7.4302520290985603</v>
      </c>
    </row>
    <row r="935" spans="1:34" x14ac:dyDescent="0.2">
      <c r="A935" s="347">
        <f t="shared" ca="1" si="412"/>
        <v>1E-4</v>
      </c>
      <c r="B935" s="304">
        <f t="shared" ca="1" si="413"/>
        <v>33.641500000001585</v>
      </c>
      <c r="D935" s="306">
        <f t="shared" ca="1" si="414"/>
        <v>-0.72867729845785945</v>
      </c>
      <c r="E935" s="307">
        <f t="shared" ca="1" si="415"/>
        <v>-2.4155268405499806</v>
      </c>
      <c r="F935" s="304">
        <f t="shared" ca="1" si="416"/>
        <v>2.5230419185390511</v>
      </c>
      <c r="G935" s="306">
        <f t="shared" ca="1" si="417"/>
        <v>11.864645141653481</v>
      </c>
      <c r="H935" s="307">
        <f t="shared" ca="1" si="418"/>
        <v>-120.40105416274244</v>
      </c>
      <c r="I935" s="304">
        <f t="shared" ca="1" si="419"/>
        <v>120.98422892194255</v>
      </c>
      <c r="J935" s="306">
        <f t="shared" ca="1" si="420"/>
        <v>755.70453742140728</v>
      </c>
      <c r="K935" s="307">
        <f t="shared" ca="1" si="421"/>
        <v>-7.3749209090430474</v>
      </c>
      <c r="L935" s="304">
        <f t="shared" ca="1" si="406"/>
        <v>755.74052249281817</v>
      </c>
      <c r="M935" s="306">
        <f t="shared" ca="1" si="422"/>
        <v>-1.4725707513130615</v>
      </c>
      <c r="N935" s="304">
        <f t="shared" ca="1" si="423"/>
        <v>-84.372089084647158</v>
      </c>
      <c r="P935" s="310">
        <f t="shared" ca="1" si="424"/>
        <v>23</v>
      </c>
      <c r="Q935" s="304">
        <f t="shared" ca="1" si="425"/>
        <v>0</v>
      </c>
      <c r="R935" s="306">
        <f t="shared" ca="1" si="426"/>
        <v>0</v>
      </c>
      <c r="S935" s="307">
        <f t="shared" ca="1" si="427"/>
        <v>7.9769999999999968</v>
      </c>
      <c r="T935" s="304">
        <f t="shared" ca="1" si="407"/>
        <v>78.254369999999966</v>
      </c>
      <c r="U935" s="311">
        <f t="shared" ca="1" si="408"/>
        <v>0</v>
      </c>
      <c r="V935" s="306">
        <f t="shared" ca="1" si="409"/>
        <v>1.2259037610696781</v>
      </c>
      <c r="W935" s="304">
        <f t="shared" ca="1" si="410"/>
        <v>59.271720238454293</v>
      </c>
      <c r="Y935" s="314" t="str">
        <f t="shared" ca="1" si="428"/>
        <v/>
      </c>
      <c r="Z935" s="315" t="str">
        <f t="shared" ca="1" si="429"/>
        <v/>
      </c>
      <c r="AA935" s="316" t="str">
        <f t="shared" ca="1" si="430"/>
        <v/>
      </c>
      <c r="AC935" s="310" t="e">
        <f t="shared" ca="1" si="431"/>
        <v>#N/A</v>
      </c>
      <c r="AD935" s="323" t="e">
        <f t="shared" ca="1" si="432"/>
        <v>#N/A</v>
      </c>
      <c r="AE935" s="324" t="e">
        <f t="shared" ca="1" si="411"/>
        <v>#N/A</v>
      </c>
      <c r="AG935" s="306">
        <f t="shared" ca="1" si="433"/>
        <v>2.332422914555254</v>
      </c>
      <c r="AH935" s="304">
        <f t="shared" ca="1" si="434"/>
        <v>-7.4302896249819632</v>
      </c>
    </row>
    <row r="936" spans="1:34" x14ac:dyDescent="0.2">
      <c r="A936" s="347">
        <f t="shared" ca="1" si="412"/>
        <v>1E-4</v>
      </c>
      <c r="B936" s="304">
        <f t="shared" ca="1" si="413"/>
        <v>33.641600000001588</v>
      </c>
      <c r="D936" s="306">
        <f t="shared" ca="1" si="414"/>
        <v>-0.72867510537478042</v>
      </c>
      <c r="E936" s="307">
        <f t="shared" ca="1" si="415"/>
        <v>-2.4154888467532984</v>
      </c>
      <c r="F936" s="304">
        <f t="shared" ca="1" si="416"/>
        <v>2.5230049104158572</v>
      </c>
      <c r="G936" s="306">
        <f t="shared" ca="1" si="417"/>
        <v>11.864572274142944</v>
      </c>
      <c r="H936" s="307">
        <f t="shared" ca="1" si="418"/>
        <v>-120.40129571162711</v>
      </c>
      <c r="I936" s="304">
        <f t="shared" ca="1" si="419"/>
        <v>120.9844621605892</v>
      </c>
      <c r="J936" s="306">
        <f t="shared" ca="1" si="420"/>
        <v>755.70453742140728</v>
      </c>
      <c r="K936" s="307">
        <f t="shared" ca="1" si="421"/>
        <v>-7.386961026536766</v>
      </c>
      <c r="L936" s="304">
        <f t="shared" ca="1" si="406"/>
        <v>755.74064008263485</v>
      </c>
      <c r="M936" s="306">
        <f t="shared" ca="1" si="422"/>
        <v>-1.4725715464929763</v>
      </c>
      <c r="N936" s="304">
        <f t="shared" ca="1" si="423"/>
        <v>-84.372134645100218</v>
      </c>
      <c r="P936" s="310">
        <f t="shared" ca="1" si="424"/>
        <v>23</v>
      </c>
      <c r="Q936" s="304">
        <f t="shared" ca="1" si="425"/>
        <v>0</v>
      </c>
      <c r="R936" s="306">
        <f t="shared" ca="1" si="426"/>
        <v>0</v>
      </c>
      <c r="S936" s="307">
        <f t="shared" ca="1" si="427"/>
        <v>7.9769999999999968</v>
      </c>
      <c r="T936" s="304">
        <f t="shared" ca="1" si="407"/>
        <v>78.254369999999966</v>
      </c>
      <c r="U936" s="311">
        <f t="shared" ca="1" si="408"/>
        <v>0</v>
      </c>
      <c r="V936" s="306">
        <f t="shared" ca="1" si="409"/>
        <v>1.2259052370732997</v>
      </c>
      <c r="W936" s="304">
        <f t="shared" ca="1" si="410"/>
        <v>59.272020136038769</v>
      </c>
      <c r="Y936" s="314" t="str">
        <f t="shared" ca="1" si="428"/>
        <v/>
      </c>
      <c r="Z936" s="315" t="str">
        <f t="shared" ca="1" si="429"/>
        <v/>
      </c>
      <c r="AA936" s="316" t="str">
        <f t="shared" ca="1" si="430"/>
        <v/>
      </c>
      <c r="AC936" s="310" t="e">
        <f t="shared" ca="1" si="431"/>
        <v>#N/A</v>
      </c>
      <c r="AD936" s="323" t="e">
        <f t="shared" ca="1" si="432"/>
        <v>#N/A</v>
      </c>
      <c r="AE936" s="324" t="e">
        <f t="shared" ca="1" si="411"/>
        <v>#N/A</v>
      </c>
      <c r="AG936" s="306">
        <f t="shared" ca="1" si="433"/>
        <v>2.3323860839802135</v>
      </c>
      <c r="AH936" s="304">
        <f t="shared" ca="1" si="434"/>
        <v>-7.4303272205659168</v>
      </c>
    </row>
    <row r="937" spans="1:34" x14ac:dyDescent="0.2">
      <c r="A937" s="347">
        <f t="shared" ca="1" si="412"/>
        <v>1E-4</v>
      </c>
      <c r="B937" s="304">
        <f t="shared" ca="1" si="413"/>
        <v>33.641700000001592</v>
      </c>
      <c r="D937" s="306">
        <f t="shared" ca="1" si="414"/>
        <v>-0.7286729122611556</v>
      </c>
      <c r="E937" s="307">
        <f t="shared" ca="1" si="415"/>
        <v>-2.4154508532592285</v>
      </c>
      <c r="F937" s="304">
        <f t="shared" ca="1" si="416"/>
        <v>2.5229679026047656</v>
      </c>
      <c r="G937" s="306">
        <f t="shared" ca="1" si="417"/>
        <v>11.864499406851717</v>
      </c>
      <c r="H937" s="307">
        <f t="shared" ca="1" si="418"/>
        <v>-120.40153725671244</v>
      </c>
      <c r="I937" s="304">
        <f t="shared" ca="1" si="419"/>
        <v>120.98469539555282</v>
      </c>
      <c r="J937" s="306">
        <f t="shared" ca="1" si="420"/>
        <v>755.70453742140728</v>
      </c>
      <c r="K937" s="307">
        <f t="shared" ca="1" si="421"/>
        <v>-7.3990011681851833</v>
      </c>
      <c r="L937" s="304">
        <f t="shared" ca="1" si="406"/>
        <v>755.74075786448748</v>
      </c>
      <c r="M937" s="306">
        <f t="shared" ca="1" si="422"/>
        <v>-1.4725723416649414</v>
      </c>
      <c r="N937" s="304">
        <f t="shared" ca="1" si="423"/>
        <v>-84.37218020509782</v>
      </c>
      <c r="P937" s="310">
        <f t="shared" ca="1" si="424"/>
        <v>23</v>
      </c>
      <c r="Q937" s="304">
        <f t="shared" ca="1" si="425"/>
        <v>0</v>
      </c>
      <c r="R937" s="306">
        <f t="shared" ca="1" si="426"/>
        <v>0</v>
      </c>
      <c r="S937" s="307">
        <f t="shared" ca="1" si="427"/>
        <v>7.9769999999999968</v>
      </c>
      <c r="T937" s="304">
        <f t="shared" ca="1" si="407"/>
        <v>78.254369999999966</v>
      </c>
      <c r="U937" s="311">
        <f t="shared" ca="1" si="408"/>
        <v>0</v>
      </c>
      <c r="V937" s="306">
        <f t="shared" ca="1" si="409"/>
        <v>1.2259067130816603</v>
      </c>
      <c r="W937" s="304">
        <f t="shared" ca="1" si="410"/>
        <v>59.272320031234507</v>
      </c>
      <c r="Y937" s="314" t="str">
        <f t="shared" ca="1" si="428"/>
        <v/>
      </c>
      <c r="Z937" s="315" t="str">
        <f t="shared" ca="1" si="429"/>
        <v/>
      </c>
      <c r="AA937" s="316" t="str">
        <f t="shared" ca="1" si="430"/>
        <v/>
      </c>
      <c r="AC937" s="310" t="e">
        <f t="shared" ca="1" si="431"/>
        <v>#N/A</v>
      </c>
      <c r="AD937" s="323" t="e">
        <f t="shared" ca="1" si="432"/>
        <v>#N/A</v>
      </c>
      <c r="AE937" s="324" t="e">
        <f t="shared" ca="1" si="411"/>
        <v>#N/A</v>
      </c>
      <c r="AG937" s="306">
        <f t="shared" ca="1" si="433"/>
        <v>2.3323492536908041</v>
      </c>
      <c r="AH937" s="304">
        <f t="shared" ca="1" si="434"/>
        <v>-7.4303648158504192</v>
      </c>
    </row>
    <row r="938" spans="1:34" x14ac:dyDescent="0.2">
      <c r="A938" s="347">
        <f t="shared" ca="1" si="412"/>
        <v>1E-4</v>
      </c>
      <c r="B938" s="304">
        <f t="shared" ca="1" si="413"/>
        <v>33.641800000001595</v>
      </c>
      <c r="D938" s="306">
        <f t="shared" ca="1" si="414"/>
        <v>-0.72867071911698633</v>
      </c>
      <c r="E938" s="307">
        <f t="shared" ca="1" si="415"/>
        <v>-2.4154128600677733</v>
      </c>
      <c r="F938" s="304">
        <f t="shared" ca="1" si="416"/>
        <v>2.5229308951057789</v>
      </c>
      <c r="G938" s="306">
        <f t="shared" ca="1" si="417"/>
        <v>11.864426539779805</v>
      </c>
      <c r="H938" s="307">
        <f t="shared" ca="1" si="418"/>
        <v>-120.40177879799845</v>
      </c>
      <c r="I938" s="304">
        <f t="shared" ca="1" si="419"/>
        <v>120.98492862683344</v>
      </c>
      <c r="J938" s="306">
        <f t="shared" ca="1" si="420"/>
        <v>755.70453742140728</v>
      </c>
      <c r="K938" s="307">
        <f t="shared" ca="1" si="421"/>
        <v>-7.4110413339879191</v>
      </c>
      <c r="L938" s="304">
        <f t="shared" ca="1" si="406"/>
        <v>755.74087583837706</v>
      </c>
      <c r="M938" s="306">
        <f t="shared" ca="1" si="422"/>
        <v>-1.4725731368289572</v>
      </c>
      <c r="N938" s="304">
        <f t="shared" ca="1" si="423"/>
        <v>-84.372225764639936</v>
      </c>
      <c r="P938" s="310">
        <f t="shared" ca="1" si="424"/>
        <v>23</v>
      </c>
      <c r="Q938" s="304">
        <f t="shared" ca="1" si="425"/>
        <v>0</v>
      </c>
      <c r="R938" s="306">
        <f t="shared" ca="1" si="426"/>
        <v>0</v>
      </c>
      <c r="S938" s="307">
        <f t="shared" ca="1" si="427"/>
        <v>7.9769999999999968</v>
      </c>
      <c r="T938" s="304">
        <f t="shared" ca="1" si="407"/>
        <v>78.254369999999966</v>
      </c>
      <c r="U938" s="311">
        <f t="shared" ca="1" si="408"/>
        <v>0</v>
      </c>
      <c r="V938" s="306">
        <f t="shared" ca="1" si="409"/>
        <v>1.2259081890947596</v>
      </c>
      <c r="W938" s="304">
        <f t="shared" ca="1" si="410"/>
        <v>59.2726199240415</v>
      </c>
      <c r="Y938" s="314" t="str">
        <f t="shared" ca="1" si="428"/>
        <v/>
      </c>
      <c r="Z938" s="315" t="str">
        <f t="shared" ca="1" si="429"/>
        <v/>
      </c>
      <c r="AA938" s="316" t="str">
        <f t="shared" ca="1" si="430"/>
        <v/>
      </c>
      <c r="AC938" s="310" t="e">
        <f t="shared" ca="1" si="431"/>
        <v>#N/A</v>
      </c>
      <c r="AD938" s="323" t="e">
        <f t="shared" ca="1" si="432"/>
        <v>#N/A</v>
      </c>
      <c r="AE938" s="324" t="e">
        <f t="shared" ca="1" si="411"/>
        <v>#N/A</v>
      </c>
      <c r="AG938" s="306">
        <f t="shared" ca="1" si="433"/>
        <v>2.3323124236870276</v>
      </c>
      <c r="AH938" s="304">
        <f t="shared" ca="1" si="434"/>
        <v>-7.4304024108354687</v>
      </c>
    </row>
    <row r="939" spans="1:34" x14ac:dyDescent="0.2">
      <c r="A939" s="347">
        <f t="shared" ca="1" si="412"/>
        <v>1E-4</v>
      </c>
      <c r="B939" s="304">
        <f t="shared" ca="1" si="413"/>
        <v>33.641900000001598</v>
      </c>
      <c r="D939" s="306">
        <f t="shared" ca="1" si="414"/>
        <v>-0.72866852594227238</v>
      </c>
      <c r="E939" s="307">
        <f t="shared" ca="1" si="415"/>
        <v>-2.4153748671789339</v>
      </c>
      <c r="F939" s="304">
        <f t="shared" ca="1" si="416"/>
        <v>2.5228938879188987</v>
      </c>
      <c r="G939" s="306">
        <f t="shared" ca="1" si="417"/>
        <v>11.86435367292721</v>
      </c>
      <c r="H939" s="307">
        <f t="shared" ca="1" si="418"/>
        <v>-120.40202033548516</v>
      </c>
      <c r="I939" s="304">
        <f t="shared" ca="1" si="419"/>
        <v>120.98516185443107</v>
      </c>
      <c r="J939" s="306">
        <f t="shared" ca="1" si="420"/>
        <v>755.70453742140728</v>
      </c>
      <c r="K939" s="307">
        <f t="shared" ca="1" si="421"/>
        <v>-7.4230815239445933</v>
      </c>
      <c r="L939" s="304">
        <f t="shared" ca="1" si="406"/>
        <v>755.74099400430453</v>
      </c>
      <c r="M939" s="306">
        <f t="shared" ca="1" si="422"/>
        <v>-1.4725739319850237</v>
      </c>
      <c r="N939" s="304">
        <f t="shared" ca="1" si="423"/>
        <v>-84.372271323726608</v>
      </c>
      <c r="P939" s="310">
        <f t="shared" ca="1" si="424"/>
        <v>23</v>
      </c>
      <c r="Q939" s="304">
        <f t="shared" ca="1" si="425"/>
        <v>0</v>
      </c>
      <c r="R939" s="306">
        <f t="shared" ca="1" si="426"/>
        <v>0</v>
      </c>
      <c r="S939" s="307">
        <f t="shared" ca="1" si="427"/>
        <v>7.9769999999999968</v>
      </c>
      <c r="T939" s="304">
        <f t="shared" ca="1" si="407"/>
        <v>78.254369999999966</v>
      </c>
      <c r="U939" s="311">
        <f t="shared" ca="1" si="408"/>
        <v>0</v>
      </c>
      <c r="V939" s="306">
        <f t="shared" ca="1" si="409"/>
        <v>1.225909665112598</v>
      </c>
      <c r="W939" s="304">
        <f t="shared" ca="1" si="410"/>
        <v>59.272919814459762</v>
      </c>
      <c r="Y939" s="314" t="str">
        <f t="shared" ca="1" si="428"/>
        <v/>
      </c>
      <c r="Z939" s="315" t="str">
        <f t="shared" ca="1" si="429"/>
        <v/>
      </c>
      <c r="AA939" s="316" t="str">
        <f t="shared" ca="1" si="430"/>
        <v/>
      </c>
      <c r="AC939" s="310" t="e">
        <f t="shared" ca="1" si="431"/>
        <v>#N/A</v>
      </c>
      <c r="AD939" s="323" t="e">
        <f t="shared" ca="1" si="432"/>
        <v>#N/A</v>
      </c>
      <c r="AE939" s="324" t="e">
        <f t="shared" ca="1" si="411"/>
        <v>#N/A</v>
      </c>
      <c r="AG939" s="306">
        <f t="shared" ca="1" si="433"/>
        <v>2.332275593968884</v>
      </c>
      <c r="AH939" s="304">
        <f t="shared" ca="1" si="434"/>
        <v>-7.4304400055210635</v>
      </c>
    </row>
    <row r="940" spans="1:34" x14ac:dyDescent="0.2">
      <c r="A940" s="347">
        <f t="shared" ca="1" si="412"/>
        <v>1E-4</v>
      </c>
      <c r="B940" s="304">
        <f t="shared" ca="1" si="413"/>
        <v>33.642000000001602</v>
      </c>
      <c r="D940" s="306">
        <f t="shared" ca="1" si="414"/>
        <v>-0.72866633273701409</v>
      </c>
      <c r="E940" s="307">
        <f t="shared" ca="1" si="415"/>
        <v>-2.4153368745927075</v>
      </c>
      <c r="F940" s="304">
        <f t="shared" ca="1" si="416"/>
        <v>2.5228568810441225</v>
      </c>
      <c r="G940" s="306">
        <f t="shared" ca="1" si="417"/>
        <v>11.864280806293937</v>
      </c>
      <c r="H940" s="307">
        <f t="shared" ca="1" si="418"/>
        <v>-120.40226186917262</v>
      </c>
      <c r="I940" s="304">
        <f t="shared" ca="1" si="419"/>
        <v>120.98539507834577</v>
      </c>
      <c r="J940" s="306">
        <f t="shared" ca="1" si="420"/>
        <v>755.70453742140728</v>
      </c>
      <c r="K940" s="307">
        <f t="shared" ca="1" si="421"/>
        <v>-7.4351217380548258</v>
      </c>
      <c r="L940" s="304">
        <f t="shared" ca="1" si="406"/>
        <v>755.74111236227111</v>
      </c>
      <c r="M940" s="306">
        <f t="shared" ca="1" si="422"/>
        <v>-1.4725747271331409</v>
      </c>
      <c r="N940" s="304">
        <f t="shared" ca="1" si="423"/>
        <v>-84.372316882357808</v>
      </c>
      <c r="P940" s="310">
        <f t="shared" ca="1" si="424"/>
        <v>23</v>
      </c>
      <c r="Q940" s="304">
        <f t="shared" ca="1" si="425"/>
        <v>0</v>
      </c>
      <c r="R940" s="306">
        <f t="shared" ca="1" si="426"/>
        <v>0</v>
      </c>
      <c r="S940" s="307">
        <f t="shared" ca="1" si="427"/>
        <v>7.9769999999999968</v>
      </c>
      <c r="T940" s="304">
        <f t="shared" ca="1" si="407"/>
        <v>78.254369999999966</v>
      </c>
      <c r="U940" s="311">
        <f t="shared" ca="1" si="408"/>
        <v>0</v>
      </c>
      <c r="V940" s="306">
        <f t="shared" ca="1" si="409"/>
        <v>1.2259111411351746</v>
      </c>
      <c r="W940" s="304">
        <f t="shared" ca="1" si="410"/>
        <v>59.273219702489264</v>
      </c>
      <c r="Y940" s="314" t="str">
        <f t="shared" ca="1" si="428"/>
        <v/>
      </c>
      <c r="Z940" s="315" t="str">
        <f t="shared" ca="1" si="429"/>
        <v/>
      </c>
      <c r="AA940" s="316" t="str">
        <f t="shared" ca="1" si="430"/>
        <v/>
      </c>
      <c r="AC940" s="310" t="e">
        <f t="shared" ca="1" si="431"/>
        <v>#N/A</v>
      </c>
      <c r="AD940" s="323" t="e">
        <f t="shared" ca="1" si="432"/>
        <v>#N/A</v>
      </c>
      <c r="AE940" s="324" t="e">
        <f t="shared" ca="1" si="411"/>
        <v>#N/A</v>
      </c>
      <c r="AG940" s="306">
        <f t="shared" ca="1" si="433"/>
        <v>2.332238764536374</v>
      </c>
      <c r="AH940" s="304">
        <f t="shared" ca="1" si="434"/>
        <v>-7.4304775999072064</v>
      </c>
    </row>
    <row r="941" spans="1:34" x14ac:dyDescent="0.2">
      <c r="A941" s="347">
        <f t="shared" ca="1" si="412"/>
        <v>1E-4</v>
      </c>
      <c r="B941" s="304">
        <f t="shared" ca="1" si="413"/>
        <v>33.642100000001605</v>
      </c>
      <c r="D941" s="306">
        <f t="shared" ca="1" si="414"/>
        <v>-0.72866413950121423</v>
      </c>
      <c r="E941" s="307">
        <f t="shared" ca="1" si="415"/>
        <v>-2.4152988823090995</v>
      </c>
      <c r="F941" s="304">
        <f t="shared" ca="1" si="416"/>
        <v>2.5228198744814563</v>
      </c>
      <c r="G941" s="306">
        <f t="shared" ca="1" si="417"/>
        <v>11.864207939879988</v>
      </c>
      <c r="H941" s="307">
        <f t="shared" ca="1" si="418"/>
        <v>-120.40250339906085</v>
      </c>
      <c r="I941" s="304">
        <f t="shared" ca="1" si="419"/>
        <v>120.98562829857755</v>
      </c>
      <c r="J941" s="306">
        <f t="shared" ca="1" si="420"/>
        <v>755.70453742140728</v>
      </c>
      <c r="K941" s="307">
        <f t="shared" ca="1" si="421"/>
        <v>-7.4471619763182373</v>
      </c>
      <c r="L941" s="304">
        <f t="shared" ca="1" si="406"/>
        <v>755.74123091227773</v>
      </c>
      <c r="M941" s="306">
        <f t="shared" ca="1" si="422"/>
        <v>-1.472575522273309</v>
      </c>
      <c r="N941" s="304">
        <f t="shared" ca="1" si="423"/>
        <v>-84.372362440533564</v>
      </c>
      <c r="P941" s="310">
        <f t="shared" ca="1" si="424"/>
        <v>23</v>
      </c>
      <c r="Q941" s="304">
        <f t="shared" ca="1" si="425"/>
        <v>0</v>
      </c>
      <c r="R941" s="306">
        <f t="shared" ca="1" si="426"/>
        <v>0</v>
      </c>
      <c r="S941" s="307">
        <f t="shared" ca="1" si="427"/>
        <v>7.9769999999999968</v>
      </c>
      <c r="T941" s="304">
        <f t="shared" ca="1" si="407"/>
        <v>78.254369999999966</v>
      </c>
      <c r="U941" s="311">
        <f t="shared" ca="1" si="408"/>
        <v>0</v>
      </c>
      <c r="V941" s="306">
        <f t="shared" ca="1" si="409"/>
        <v>1.2259126171624906</v>
      </c>
      <c r="W941" s="304">
        <f t="shared" ca="1" si="410"/>
        <v>59.273519588130043</v>
      </c>
      <c r="Y941" s="314" t="str">
        <f t="shared" ca="1" si="428"/>
        <v/>
      </c>
      <c r="Z941" s="315" t="str">
        <f t="shared" ca="1" si="429"/>
        <v/>
      </c>
      <c r="AA941" s="316" t="str">
        <f t="shared" ca="1" si="430"/>
        <v/>
      </c>
      <c r="AC941" s="310" t="e">
        <f t="shared" ca="1" si="431"/>
        <v>#N/A</v>
      </c>
      <c r="AD941" s="323" t="e">
        <f t="shared" ca="1" si="432"/>
        <v>#N/A</v>
      </c>
      <c r="AE941" s="324" t="e">
        <f t="shared" ca="1" si="411"/>
        <v>#N/A</v>
      </c>
      <c r="AG941" s="306">
        <f t="shared" ca="1" si="433"/>
        <v>2.3322019353894978</v>
      </c>
      <c r="AH941" s="304">
        <f t="shared" ca="1" si="434"/>
        <v>-7.4305151939938936</v>
      </c>
    </row>
    <row r="942" spans="1:34" x14ac:dyDescent="0.2">
      <c r="A942" s="347">
        <f t="shared" ca="1" si="412"/>
        <v>1E-4</v>
      </c>
      <c r="B942" s="304">
        <f t="shared" ca="1" si="413"/>
        <v>33.642200000001608</v>
      </c>
      <c r="D942" s="306">
        <f t="shared" ca="1" si="414"/>
        <v>-0.72866194623487146</v>
      </c>
      <c r="E942" s="307">
        <f t="shared" ca="1" si="415"/>
        <v>-2.4152608903281036</v>
      </c>
      <c r="F942" s="304">
        <f t="shared" ca="1" si="416"/>
        <v>2.5227828682308937</v>
      </c>
      <c r="G942" s="306">
        <f t="shared" ca="1" si="417"/>
        <v>11.864135073685365</v>
      </c>
      <c r="H942" s="307">
        <f t="shared" ca="1" si="418"/>
        <v>-120.40274492514988</v>
      </c>
      <c r="I942" s="304">
        <f t="shared" ca="1" si="419"/>
        <v>120.98586151512644</v>
      </c>
      <c r="J942" s="306">
        <f t="shared" ca="1" si="420"/>
        <v>755.70453742140728</v>
      </c>
      <c r="K942" s="307">
        <f t="shared" ca="1" si="421"/>
        <v>-7.4592022387344477</v>
      </c>
      <c r="L942" s="304">
        <f t="shared" ca="1" si="406"/>
        <v>755.74134965432552</v>
      </c>
      <c r="M942" s="306">
        <f t="shared" ca="1" si="422"/>
        <v>-1.4725763174055282</v>
      </c>
      <c r="N942" s="304">
        <f t="shared" ca="1" si="423"/>
        <v>-84.372407998253877</v>
      </c>
      <c r="P942" s="310">
        <f t="shared" ca="1" si="424"/>
        <v>23</v>
      </c>
      <c r="Q942" s="304">
        <f t="shared" ca="1" si="425"/>
        <v>0</v>
      </c>
      <c r="R942" s="306">
        <f t="shared" ca="1" si="426"/>
        <v>0</v>
      </c>
      <c r="S942" s="307">
        <f t="shared" ca="1" si="427"/>
        <v>7.9769999999999968</v>
      </c>
      <c r="T942" s="304">
        <f t="shared" ca="1" si="407"/>
        <v>78.254369999999966</v>
      </c>
      <c r="U942" s="311">
        <f t="shared" ca="1" si="408"/>
        <v>0</v>
      </c>
      <c r="V942" s="306">
        <f t="shared" ca="1" si="409"/>
        <v>1.2259140931945451</v>
      </c>
      <c r="W942" s="304">
        <f t="shared" ca="1" si="410"/>
        <v>59.273819471382041</v>
      </c>
      <c r="Y942" s="314" t="str">
        <f t="shared" ca="1" si="428"/>
        <v/>
      </c>
      <c r="Z942" s="315" t="str">
        <f t="shared" ca="1" si="429"/>
        <v/>
      </c>
      <c r="AA942" s="316" t="str">
        <f t="shared" ca="1" si="430"/>
        <v/>
      </c>
      <c r="AC942" s="310" t="e">
        <f t="shared" ca="1" si="431"/>
        <v>#N/A</v>
      </c>
      <c r="AD942" s="323" t="e">
        <f t="shared" ca="1" si="432"/>
        <v>#N/A</v>
      </c>
      <c r="AE942" s="324" t="e">
        <f t="shared" ca="1" si="411"/>
        <v>#N/A</v>
      </c>
      <c r="AG942" s="306">
        <f t="shared" ca="1" si="433"/>
        <v>2.3321651065282536</v>
      </c>
      <c r="AH942" s="304">
        <f t="shared" ca="1" si="434"/>
        <v>-7.4305527877811288</v>
      </c>
    </row>
    <row r="943" spans="1:34" x14ac:dyDescent="0.2">
      <c r="A943" s="347">
        <f t="shared" ca="1" si="412"/>
        <v>1E-4</v>
      </c>
      <c r="B943" s="304">
        <f t="shared" ca="1" si="413"/>
        <v>33.642300000001612</v>
      </c>
      <c r="D943" s="306">
        <f t="shared" ca="1" si="414"/>
        <v>-0.7286597529379869</v>
      </c>
      <c r="E943" s="307">
        <f t="shared" ca="1" si="415"/>
        <v>-2.4152228986497279</v>
      </c>
      <c r="F943" s="304">
        <f t="shared" ca="1" si="416"/>
        <v>2.5227458622924432</v>
      </c>
      <c r="G943" s="306">
        <f t="shared" ca="1" si="417"/>
        <v>11.86406220771007</v>
      </c>
      <c r="H943" s="307">
        <f t="shared" ca="1" si="418"/>
        <v>-120.40298644743974</v>
      </c>
      <c r="I943" s="304">
        <f t="shared" ca="1" si="419"/>
        <v>120.98609472799249</v>
      </c>
      <c r="J943" s="306">
        <f t="shared" ca="1" si="420"/>
        <v>755.70453742140728</v>
      </c>
      <c r="K943" s="307">
        <f t="shared" ca="1" si="421"/>
        <v>-7.4712425253030768</v>
      </c>
      <c r="L943" s="304">
        <f t="shared" ca="1" si="406"/>
        <v>755.7414685884155</v>
      </c>
      <c r="M943" s="306">
        <f t="shared" ca="1" si="422"/>
        <v>-1.4725771125297986</v>
      </c>
      <c r="N943" s="304">
        <f t="shared" ca="1" si="423"/>
        <v>-84.37245355551876</v>
      </c>
      <c r="P943" s="310">
        <f t="shared" ca="1" si="424"/>
        <v>23</v>
      </c>
      <c r="Q943" s="304">
        <f t="shared" ca="1" si="425"/>
        <v>0</v>
      </c>
      <c r="R943" s="306">
        <f t="shared" ca="1" si="426"/>
        <v>0</v>
      </c>
      <c r="S943" s="307">
        <f t="shared" ca="1" si="427"/>
        <v>7.9769999999999968</v>
      </c>
      <c r="T943" s="304">
        <f t="shared" ca="1" si="407"/>
        <v>78.254369999999966</v>
      </c>
      <c r="U943" s="311">
        <f t="shared" ca="1" si="408"/>
        <v>0</v>
      </c>
      <c r="V943" s="306">
        <f t="shared" ca="1" si="409"/>
        <v>1.2259155692313384</v>
      </c>
      <c r="W943" s="304">
        <f t="shared" ca="1" si="410"/>
        <v>59.274119352245336</v>
      </c>
      <c r="Y943" s="314" t="str">
        <f t="shared" ca="1" si="428"/>
        <v/>
      </c>
      <c r="Z943" s="315" t="str">
        <f t="shared" ca="1" si="429"/>
        <v/>
      </c>
      <c r="AA943" s="316" t="str">
        <f t="shared" ca="1" si="430"/>
        <v/>
      </c>
      <c r="AC943" s="310" t="e">
        <f t="shared" ca="1" si="431"/>
        <v>#N/A</v>
      </c>
      <c r="AD943" s="323" t="e">
        <f t="shared" ca="1" si="432"/>
        <v>#N/A</v>
      </c>
      <c r="AE943" s="324" t="e">
        <f t="shared" ca="1" si="411"/>
        <v>#N/A</v>
      </c>
      <c r="AG943" s="306">
        <f t="shared" ca="1" si="433"/>
        <v>2.3321282779526511</v>
      </c>
      <c r="AH943" s="304">
        <f t="shared" ca="1" si="434"/>
        <v>-7.4305903812689058</v>
      </c>
    </row>
    <row r="944" spans="1:34" x14ac:dyDescent="0.2">
      <c r="A944" s="347">
        <f t="shared" ca="1" si="412"/>
        <v>1E-4</v>
      </c>
      <c r="B944" s="304">
        <f t="shared" ca="1" si="413"/>
        <v>33.642400000001615</v>
      </c>
      <c r="D944" s="306">
        <f t="shared" ca="1" si="414"/>
        <v>-0.72865755961056144</v>
      </c>
      <c r="E944" s="307">
        <f t="shared" ca="1" si="415"/>
        <v>-2.4151849072739626</v>
      </c>
      <c r="F944" s="304">
        <f t="shared" ca="1" si="416"/>
        <v>2.5227088566660956</v>
      </c>
      <c r="G944" s="306">
        <f t="shared" ca="1" si="417"/>
        <v>11.86398934195411</v>
      </c>
      <c r="H944" s="307">
        <f t="shared" ca="1" si="418"/>
        <v>-120.40322796593047</v>
      </c>
      <c r="I944" s="304">
        <f t="shared" ca="1" si="419"/>
        <v>120.9863279371757</v>
      </c>
      <c r="J944" s="306">
        <f t="shared" ca="1" si="420"/>
        <v>755.70453742140728</v>
      </c>
      <c r="K944" s="307">
        <f t="shared" ca="1" si="421"/>
        <v>-7.4832828360237453</v>
      </c>
      <c r="L944" s="304">
        <f t="shared" ca="1" si="406"/>
        <v>755.74158771454881</v>
      </c>
      <c r="M944" s="306">
        <f t="shared" ca="1" si="422"/>
        <v>-1.4725779076461201</v>
      </c>
      <c r="N944" s="304">
        <f t="shared" ca="1" si="423"/>
        <v>-84.3724991123282</v>
      </c>
      <c r="P944" s="310">
        <f t="shared" ca="1" si="424"/>
        <v>23</v>
      </c>
      <c r="Q944" s="304">
        <f t="shared" ca="1" si="425"/>
        <v>0</v>
      </c>
      <c r="R944" s="306">
        <f t="shared" ca="1" si="426"/>
        <v>0</v>
      </c>
      <c r="S944" s="307">
        <f t="shared" ca="1" si="427"/>
        <v>7.9769999999999968</v>
      </c>
      <c r="T944" s="304">
        <f t="shared" ca="1" si="407"/>
        <v>78.254369999999966</v>
      </c>
      <c r="U944" s="311">
        <f t="shared" ca="1" si="408"/>
        <v>0</v>
      </c>
      <c r="V944" s="306">
        <f t="shared" ca="1" si="409"/>
        <v>1.2259170452728705</v>
      </c>
      <c r="W944" s="304">
        <f t="shared" ca="1" si="410"/>
        <v>59.27441923071985</v>
      </c>
      <c r="Y944" s="314" t="str">
        <f t="shared" ca="1" si="428"/>
        <v/>
      </c>
      <c r="Z944" s="315" t="str">
        <f t="shared" ca="1" si="429"/>
        <v/>
      </c>
      <c r="AA944" s="316" t="str">
        <f t="shared" ca="1" si="430"/>
        <v/>
      </c>
      <c r="AC944" s="310" t="e">
        <f t="shared" ca="1" si="431"/>
        <v>#N/A</v>
      </c>
      <c r="AD944" s="323" t="e">
        <f t="shared" ca="1" si="432"/>
        <v>#N/A</v>
      </c>
      <c r="AE944" s="324" t="e">
        <f t="shared" ca="1" si="411"/>
        <v>#N/A</v>
      </c>
      <c r="AG944" s="306">
        <f t="shared" ca="1" si="433"/>
        <v>2.332091449662677</v>
      </c>
      <c r="AH944" s="304">
        <f t="shared" ca="1" si="434"/>
        <v>-7.4306279744572343</v>
      </c>
    </row>
    <row r="945" spans="1:34" x14ac:dyDescent="0.2">
      <c r="A945" s="347">
        <f t="shared" ca="1" si="412"/>
        <v>1E-4</v>
      </c>
      <c r="B945" s="304">
        <f t="shared" ca="1" si="413"/>
        <v>33.642500000001618</v>
      </c>
      <c r="D945" s="306">
        <f t="shared" ca="1" si="414"/>
        <v>-0.72865536625259741</v>
      </c>
      <c r="E945" s="307">
        <f t="shared" ca="1" si="415"/>
        <v>-2.4151469162008166</v>
      </c>
      <c r="F945" s="304">
        <f t="shared" ca="1" si="416"/>
        <v>2.52267185135186</v>
      </c>
      <c r="G945" s="306">
        <f t="shared" ca="1" si="417"/>
        <v>11.863916476417485</v>
      </c>
      <c r="H945" s="307">
        <f t="shared" ca="1" si="418"/>
        <v>-120.40346948062209</v>
      </c>
      <c r="I945" s="304">
        <f t="shared" ca="1" si="419"/>
        <v>120.98656114267611</v>
      </c>
      <c r="J945" s="306">
        <f t="shared" ca="1" si="420"/>
        <v>755.70453742140728</v>
      </c>
      <c r="K945" s="307">
        <f t="shared" ca="1" si="421"/>
        <v>-7.4953231708960733</v>
      </c>
      <c r="L945" s="304">
        <f t="shared" ca="1" si="406"/>
        <v>755.74170703272648</v>
      </c>
      <c r="M945" s="306">
        <f t="shared" ca="1" si="422"/>
        <v>-1.4725787027544932</v>
      </c>
      <c r="N945" s="304">
        <f t="shared" ca="1" si="423"/>
        <v>-84.372544668682238</v>
      </c>
      <c r="P945" s="310">
        <f t="shared" ca="1" si="424"/>
        <v>23</v>
      </c>
      <c r="Q945" s="304">
        <f t="shared" ca="1" si="425"/>
        <v>0</v>
      </c>
      <c r="R945" s="306">
        <f t="shared" ca="1" si="426"/>
        <v>0</v>
      </c>
      <c r="S945" s="307">
        <f t="shared" ca="1" si="427"/>
        <v>7.9769999999999968</v>
      </c>
      <c r="T945" s="304">
        <f t="shared" ca="1" si="407"/>
        <v>78.254369999999966</v>
      </c>
      <c r="U945" s="311">
        <f t="shared" ca="1" si="408"/>
        <v>0</v>
      </c>
      <c r="V945" s="306">
        <f t="shared" ca="1" si="409"/>
        <v>1.2259185213191413</v>
      </c>
      <c r="W945" s="304">
        <f t="shared" ca="1" si="410"/>
        <v>59.274719106805605</v>
      </c>
      <c r="Y945" s="314" t="str">
        <f t="shared" ca="1" si="428"/>
        <v/>
      </c>
      <c r="Z945" s="315" t="str">
        <f t="shared" ca="1" si="429"/>
        <v/>
      </c>
      <c r="AA945" s="316" t="str">
        <f t="shared" ca="1" si="430"/>
        <v/>
      </c>
      <c r="AC945" s="310" t="e">
        <f t="shared" ca="1" si="431"/>
        <v>#N/A</v>
      </c>
      <c r="AD945" s="323" t="e">
        <f t="shared" ca="1" si="432"/>
        <v>#N/A</v>
      </c>
      <c r="AE945" s="324" t="e">
        <f t="shared" ca="1" si="411"/>
        <v>#N/A</v>
      </c>
      <c r="AG945" s="306">
        <f t="shared" ca="1" si="433"/>
        <v>2.3320546216583411</v>
      </c>
      <c r="AH945" s="304">
        <f t="shared" ca="1" si="434"/>
        <v>-7.4306655673461046</v>
      </c>
    </row>
    <row r="946" spans="1:34" x14ac:dyDescent="0.2">
      <c r="A946" s="347">
        <f t="shared" ca="1" si="412"/>
        <v>1E-4</v>
      </c>
      <c r="B946" s="304">
        <f t="shared" ca="1" si="413"/>
        <v>33.642600000001622</v>
      </c>
      <c r="D946" s="306">
        <f t="shared" ca="1" si="414"/>
        <v>-0.7286531728640917</v>
      </c>
      <c r="E946" s="307">
        <f t="shared" ca="1" si="415"/>
        <v>-2.415108925430288</v>
      </c>
      <c r="F946" s="304">
        <f t="shared" ca="1" si="416"/>
        <v>2.5226348463497343</v>
      </c>
      <c r="G946" s="306">
        <f t="shared" ca="1" si="417"/>
        <v>11.863843611100199</v>
      </c>
      <c r="H946" s="307">
        <f t="shared" ca="1" si="418"/>
        <v>-120.40371099151463</v>
      </c>
      <c r="I946" s="304">
        <f t="shared" ca="1" si="419"/>
        <v>120.98679434449375</v>
      </c>
      <c r="J946" s="306">
        <f t="shared" ca="1" si="420"/>
        <v>755.70453742140728</v>
      </c>
      <c r="K946" s="307">
        <f t="shared" ca="1" si="421"/>
        <v>-7.5073635299196804</v>
      </c>
      <c r="L946" s="304">
        <f t="shared" ca="1" si="406"/>
        <v>755.74182654294941</v>
      </c>
      <c r="M946" s="306">
        <f t="shared" ca="1" si="422"/>
        <v>-1.4725794978549176</v>
      </c>
      <c r="N946" s="304">
        <f t="shared" ca="1" si="423"/>
        <v>-84.372590224580847</v>
      </c>
      <c r="P946" s="310">
        <f t="shared" ca="1" si="424"/>
        <v>23</v>
      </c>
      <c r="Q946" s="304">
        <f t="shared" ca="1" si="425"/>
        <v>0</v>
      </c>
      <c r="R946" s="306">
        <f t="shared" ca="1" si="426"/>
        <v>0</v>
      </c>
      <c r="S946" s="307">
        <f t="shared" ca="1" si="427"/>
        <v>7.9769999999999968</v>
      </c>
      <c r="T946" s="304">
        <f t="shared" ca="1" si="407"/>
        <v>78.254369999999966</v>
      </c>
      <c r="U946" s="311">
        <f t="shared" ca="1" si="408"/>
        <v>0</v>
      </c>
      <c r="V946" s="306">
        <f t="shared" ca="1" si="409"/>
        <v>1.2259199973701504</v>
      </c>
      <c r="W946" s="304">
        <f t="shared" ca="1" si="410"/>
        <v>59.275018980502615</v>
      </c>
      <c r="Y946" s="314" t="str">
        <f t="shared" ca="1" si="428"/>
        <v/>
      </c>
      <c r="Z946" s="315" t="str">
        <f t="shared" ca="1" si="429"/>
        <v/>
      </c>
      <c r="AA946" s="316" t="str">
        <f t="shared" ca="1" si="430"/>
        <v/>
      </c>
      <c r="AC946" s="310" t="e">
        <f t="shared" ca="1" si="431"/>
        <v>#N/A</v>
      </c>
      <c r="AD946" s="323" t="e">
        <f t="shared" ca="1" si="432"/>
        <v>#N/A</v>
      </c>
      <c r="AE946" s="324" t="e">
        <f t="shared" ca="1" si="411"/>
        <v>#N/A</v>
      </c>
      <c r="AG946" s="306">
        <f t="shared" ca="1" si="433"/>
        <v>2.3320177939396451</v>
      </c>
      <c r="AH946" s="304">
        <f t="shared" ca="1" si="434"/>
        <v>-7.4307031599355184</v>
      </c>
    </row>
    <row r="947" spans="1:34" x14ac:dyDescent="0.2">
      <c r="A947" s="347">
        <f t="shared" ca="1" si="412"/>
        <v>1E-4</v>
      </c>
      <c r="B947" s="304">
        <f t="shared" ca="1" si="413"/>
        <v>33.642700000001625</v>
      </c>
      <c r="D947" s="306">
        <f t="shared" ca="1" si="414"/>
        <v>-0.72865097944504931</v>
      </c>
      <c r="E947" s="307">
        <f t="shared" ca="1" si="415"/>
        <v>-2.415070934962376</v>
      </c>
      <c r="F947" s="304">
        <f t="shared" ca="1" si="416"/>
        <v>2.5225978416597195</v>
      </c>
      <c r="G947" s="306">
        <f t="shared" ca="1" si="417"/>
        <v>11.863770746002254</v>
      </c>
      <c r="H947" s="307">
        <f t="shared" ca="1" si="418"/>
        <v>-120.40395249860812</v>
      </c>
      <c r="I947" s="304">
        <f t="shared" ca="1" si="419"/>
        <v>120.98702754262862</v>
      </c>
      <c r="J947" s="306">
        <f t="shared" ca="1" si="420"/>
        <v>755.70453742140728</v>
      </c>
      <c r="K947" s="307">
        <f t="shared" ca="1" si="421"/>
        <v>-7.5194039130941865</v>
      </c>
      <c r="L947" s="304">
        <f t="shared" ca="1" si="406"/>
        <v>755.74194624521897</v>
      </c>
      <c r="M947" s="306">
        <f t="shared" ca="1" si="422"/>
        <v>-1.4725802929473937</v>
      </c>
      <c r="N947" s="304">
        <f t="shared" ca="1" si="423"/>
        <v>-84.372635780024041</v>
      </c>
      <c r="P947" s="310">
        <f t="shared" ca="1" si="424"/>
        <v>23</v>
      </c>
      <c r="Q947" s="304">
        <f t="shared" ca="1" si="425"/>
        <v>0</v>
      </c>
      <c r="R947" s="306">
        <f t="shared" ca="1" si="426"/>
        <v>0</v>
      </c>
      <c r="S947" s="307">
        <f t="shared" ca="1" si="427"/>
        <v>7.9769999999999968</v>
      </c>
      <c r="T947" s="304">
        <f t="shared" ca="1" si="407"/>
        <v>78.254369999999966</v>
      </c>
      <c r="U947" s="311">
        <f t="shared" ca="1" si="408"/>
        <v>0</v>
      </c>
      <c r="V947" s="306">
        <f t="shared" ca="1" si="409"/>
        <v>1.2259214734258985</v>
      </c>
      <c r="W947" s="304">
        <f t="shared" ca="1" si="410"/>
        <v>59.27531885181083</v>
      </c>
      <c r="Y947" s="314" t="str">
        <f t="shared" ca="1" si="428"/>
        <v/>
      </c>
      <c r="Z947" s="315" t="str">
        <f t="shared" ca="1" si="429"/>
        <v/>
      </c>
      <c r="AA947" s="316" t="str">
        <f t="shared" ca="1" si="430"/>
        <v/>
      </c>
      <c r="AC947" s="310" t="e">
        <f t="shared" ca="1" si="431"/>
        <v>#N/A</v>
      </c>
      <c r="AD947" s="323" t="e">
        <f t="shared" ca="1" si="432"/>
        <v>#N/A</v>
      </c>
      <c r="AE947" s="324" t="e">
        <f t="shared" ca="1" si="411"/>
        <v>#N/A</v>
      </c>
      <c r="AG947" s="306">
        <f t="shared" ca="1" si="433"/>
        <v>2.3319809665065829</v>
      </c>
      <c r="AH947" s="304">
        <f t="shared" ca="1" si="434"/>
        <v>-7.4307407522254785</v>
      </c>
    </row>
    <row r="948" spans="1:34" x14ac:dyDescent="0.2">
      <c r="A948" s="347">
        <f t="shared" ca="1" si="412"/>
        <v>1E-4</v>
      </c>
      <c r="B948" s="304">
        <f t="shared" ca="1" si="413"/>
        <v>33.642800000001628</v>
      </c>
      <c r="D948" s="306">
        <f t="shared" ca="1" si="414"/>
        <v>-0.7286487859954679</v>
      </c>
      <c r="E948" s="307">
        <f t="shared" ca="1" si="415"/>
        <v>-2.4150329447970851</v>
      </c>
      <c r="F948" s="304">
        <f t="shared" ca="1" si="416"/>
        <v>2.5225608372818189</v>
      </c>
      <c r="G948" s="306">
        <f t="shared" ca="1" si="417"/>
        <v>11.863697881123654</v>
      </c>
      <c r="H948" s="307">
        <f t="shared" ca="1" si="418"/>
        <v>-120.4041940019026</v>
      </c>
      <c r="I948" s="304">
        <f t="shared" ca="1" si="419"/>
        <v>120.9872607370808</v>
      </c>
      <c r="J948" s="306">
        <f t="shared" ca="1" si="420"/>
        <v>755.70453742140728</v>
      </c>
      <c r="K948" s="307">
        <f t="shared" ca="1" si="421"/>
        <v>-7.5314443204192116</v>
      </c>
      <c r="L948" s="304">
        <f t="shared" ca="1" si="406"/>
        <v>755.74206613953595</v>
      </c>
      <c r="M948" s="306">
        <f t="shared" ca="1" si="422"/>
        <v>-1.4725810880319217</v>
      </c>
      <c r="N948" s="304">
        <f t="shared" ca="1" si="423"/>
        <v>-84.372681335011848</v>
      </c>
      <c r="P948" s="310">
        <f t="shared" ca="1" si="424"/>
        <v>23</v>
      </c>
      <c r="Q948" s="304">
        <f t="shared" ca="1" si="425"/>
        <v>0</v>
      </c>
      <c r="R948" s="306">
        <f t="shared" ca="1" si="426"/>
        <v>0</v>
      </c>
      <c r="S948" s="307">
        <f t="shared" ca="1" si="427"/>
        <v>7.9769999999999968</v>
      </c>
      <c r="T948" s="304">
        <f t="shared" ca="1" si="407"/>
        <v>78.254369999999966</v>
      </c>
      <c r="U948" s="311">
        <f t="shared" ca="1" si="408"/>
        <v>0</v>
      </c>
      <c r="V948" s="306">
        <f t="shared" ca="1" si="409"/>
        <v>1.2259229494863846</v>
      </c>
      <c r="W948" s="304">
        <f t="shared" ca="1" si="410"/>
        <v>59.275618720730293</v>
      </c>
      <c r="Y948" s="314" t="str">
        <f t="shared" ca="1" si="428"/>
        <v/>
      </c>
      <c r="Z948" s="315" t="str">
        <f t="shared" ca="1" si="429"/>
        <v/>
      </c>
      <c r="AA948" s="316" t="str">
        <f t="shared" ca="1" si="430"/>
        <v/>
      </c>
      <c r="AC948" s="310" t="e">
        <f t="shared" ca="1" si="431"/>
        <v>#N/A</v>
      </c>
      <c r="AD948" s="323" t="e">
        <f t="shared" ca="1" si="432"/>
        <v>#N/A</v>
      </c>
      <c r="AE948" s="324" t="e">
        <f t="shared" ca="1" si="411"/>
        <v>#N/A</v>
      </c>
      <c r="AG948" s="306">
        <f t="shared" ca="1" si="433"/>
        <v>2.3319441393591651</v>
      </c>
      <c r="AH948" s="304">
        <f t="shared" ca="1" si="434"/>
        <v>-7.4307783442159776</v>
      </c>
    </row>
    <row r="949" spans="1:34" x14ac:dyDescent="0.2">
      <c r="A949" s="347">
        <f t="shared" ca="1" si="412"/>
        <v>1E-4</v>
      </c>
      <c r="B949" s="304">
        <f t="shared" ca="1" si="413"/>
        <v>33.642900000001632</v>
      </c>
      <c r="D949" s="306">
        <f t="shared" ca="1" si="414"/>
        <v>-0.72864659251534836</v>
      </c>
      <c r="E949" s="307">
        <f t="shared" ca="1" si="415"/>
        <v>-2.4149949549344107</v>
      </c>
      <c r="F949" s="304">
        <f t="shared" ca="1" si="416"/>
        <v>2.5225238332160282</v>
      </c>
      <c r="G949" s="306">
        <f t="shared" ca="1" si="417"/>
        <v>11.863625016464402</v>
      </c>
      <c r="H949" s="307">
        <f t="shared" ca="1" si="418"/>
        <v>-120.40443550139808</v>
      </c>
      <c r="I949" s="304">
        <f t="shared" ca="1" si="419"/>
        <v>120.98749392785029</v>
      </c>
      <c r="J949" s="306">
        <f t="shared" ca="1" si="420"/>
        <v>755.70453742140728</v>
      </c>
      <c r="K949" s="307">
        <f t="shared" ca="1" si="421"/>
        <v>-7.5434847518943764</v>
      </c>
      <c r="L949" s="304">
        <f t="shared" ca="1" si="406"/>
        <v>755.74218622590149</v>
      </c>
      <c r="M949" s="306">
        <f t="shared" ca="1" si="422"/>
        <v>-1.4725818831085014</v>
      </c>
      <c r="N949" s="304">
        <f t="shared" ca="1" si="423"/>
        <v>-84.372726889544253</v>
      </c>
      <c r="P949" s="310">
        <f t="shared" ca="1" si="424"/>
        <v>23</v>
      </c>
      <c r="Q949" s="304">
        <f t="shared" ca="1" si="425"/>
        <v>0</v>
      </c>
      <c r="R949" s="306">
        <f t="shared" ca="1" si="426"/>
        <v>0</v>
      </c>
      <c r="S949" s="307">
        <f t="shared" ca="1" si="427"/>
        <v>7.9769999999999968</v>
      </c>
      <c r="T949" s="304">
        <f t="shared" ca="1" si="407"/>
        <v>78.254369999999966</v>
      </c>
      <c r="U949" s="311">
        <f t="shared" ca="1" si="408"/>
        <v>0</v>
      </c>
      <c r="V949" s="306">
        <f t="shared" ca="1" si="409"/>
        <v>1.22592442555161</v>
      </c>
      <c r="W949" s="304">
        <f t="shared" ca="1" si="410"/>
        <v>59.27591858726101</v>
      </c>
      <c r="Y949" s="314" t="str">
        <f t="shared" ca="1" si="428"/>
        <v/>
      </c>
      <c r="Z949" s="315" t="str">
        <f t="shared" ca="1" si="429"/>
        <v/>
      </c>
      <c r="AA949" s="316" t="str">
        <f t="shared" ca="1" si="430"/>
        <v/>
      </c>
      <c r="AC949" s="310" t="e">
        <f t="shared" ca="1" si="431"/>
        <v>#N/A</v>
      </c>
      <c r="AD949" s="323" t="e">
        <f t="shared" ca="1" si="432"/>
        <v>#N/A</v>
      </c>
      <c r="AE949" s="324" t="e">
        <f t="shared" ca="1" si="411"/>
        <v>#N/A</v>
      </c>
      <c r="AG949" s="306">
        <f t="shared" ca="1" si="433"/>
        <v>2.3319073124973837</v>
      </c>
      <c r="AH949" s="304">
        <f t="shared" ca="1" si="434"/>
        <v>-7.4308159359070221</v>
      </c>
    </row>
    <row r="950" spans="1:34" x14ac:dyDescent="0.2">
      <c r="A950" s="347">
        <f t="shared" ca="1" si="412"/>
        <v>1E-4</v>
      </c>
      <c r="B950" s="304">
        <f t="shared" ca="1" si="413"/>
        <v>33.643000000001635</v>
      </c>
      <c r="D950" s="306">
        <f t="shared" ca="1" si="414"/>
        <v>-0.72864439900469358</v>
      </c>
      <c r="E950" s="307">
        <f t="shared" ca="1" si="415"/>
        <v>-2.4149569653743521</v>
      </c>
      <c r="F950" s="304">
        <f t="shared" ca="1" si="416"/>
        <v>2.5224868294623484</v>
      </c>
      <c r="G950" s="306">
        <f t="shared" ca="1" si="417"/>
        <v>11.863552152024502</v>
      </c>
      <c r="H950" s="307">
        <f t="shared" ca="1" si="418"/>
        <v>-120.40467699709463</v>
      </c>
      <c r="I950" s="304">
        <f t="shared" ca="1" si="419"/>
        <v>120.98772711493713</v>
      </c>
      <c r="J950" s="306">
        <f t="shared" ca="1" si="420"/>
        <v>755.70453742140728</v>
      </c>
      <c r="K950" s="307">
        <f t="shared" ca="1" si="421"/>
        <v>-7.5555252075193007</v>
      </c>
      <c r="L950" s="304">
        <f t="shared" ca="1" si="406"/>
        <v>755.74230650431673</v>
      </c>
      <c r="M950" s="306">
        <f t="shared" ca="1" si="422"/>
        <v>-1.472582678177133</v>
      </c>
      <c r="N950" s="304">
        <f t="shared" ca="1" si="423"/>
        <v>-84.372772443621272</v>
      </c>
      <c r="P950" s="310">
        <f t="shared" ca="1" si="424"/>
        <v>23</v>
      </c>
      <c r="Q950" s="304">
        <f t="shared" ca="1" si="425"/>
        <v>0</v>
      </c>
      <c r="R950" s="306">
        <f t="shared" ca="1" si="426"/>
        <v>0</v>
      </c>
      <c r="S950" s="307">
        <f t="shared" ca="1" si="427"/>
        <v>7.9769999999999968</v>
      </c>
      <c r="T950" s="304">
        <f t="shared" ca="1" si="407"/>
        <v>78.254369999999966</v>
      </c>
      <c r="U950" s="311">
        <f t="shared" ca="1" si="408"/>
        <v>0</v>
      </c>
      <c r="V950" s="306">
        <f t="shared" ca="1" si="409"/>
        <v>1.2259259016215733</v>
      </c>
      <c r="W950" s="304">
        <f t="shared" ca="1" si="410"/>
        <v>59.276218451402933</v>
      </c>
      <c r="Y950" s="314" t="str">
        <f t="shared" ca="1" si="428"/>
        <v/>
      </c>
      <c r="Z950" s="315" t="str">
        <f t="shared" ca="1" si="429"/>
        <v/>
      </c>
      <c r="AA950" s="316" t="str">
        <f t="shared" ca="1" si="430"/>
        <v/>
      </c>
      <c r="AC950" s="310" t="e">
        <f t="shared" ca="1" si="431"/>
        <v>#N/A</v>
      </c>
      <c r="AD950" s="323" t="e">
        <f t="shared" ca="1" si="432"/>
        <v>#N/A</v>
      </c>
      <c r="AE950" s="324" t="e">
        <f t="shared" ca="1" si="411"/>
        <v>#N/A</v>
      </c>
      <c r="AG950" s="306">
        <f t="shared" ca="1" si="433"/>
        <v>2.3318704859212414</v>
      </c>
      <c r="AH950" s="304">
        <f t="shared" ca="1" si="434"/>
        <v>-7.4308535272986127</v>
      </c>
    </row>
    <row r="951" spans="1:34" x14ac:dyDescent="0.2">
      <c r="A951" s="347">
        <f t="shared" ca="1" si="412"/>
        <v>1E-4</v>
      </c>
      <c r="B951" s="304">
        <f t="shared" ca="1" si="413"/>
        <v>33.643100000001638</v>
      </c>
      <c r="D951" s="306">
        <f t="shared" ca="1" si="414"/>
        <v>-0.72864220546350322</v>
      </c>
      <c r="E951" s="307">
        <f t="shared" ca="1" si="415"/>
        <v>-2.4149189761169145</v>
      </c>
      <c r="F951" s="304">
        <f t="shared" ca="1" si="416"/>
        <v>2.5224498260207842</v>
      </c>
      <c r="G951" s="306">
        <f t="shared" ca="1" si="417"/>
        <v>11.863479287803955</v>
      </c>
      <c r="H951" s="307">
        <f t="shared" ca="1" si="418"/>
        <v>-120.40491848899224</v>
      </c>
      <c r="I951" s="304">
        <f t="shared" ca="1" si="419"/>
        <v>120.98796029834133</v>
      </c>
      <c r="J951" s="306">
        <f t="shared" ca="1" si="420"/>
        <v>755.70453742140728</v>
      </c>
      <c r="K951" s="307">
        <f t="shared" ca="1" si="421"/>
        <v>-7.5675656872936052</v>
      </c>
      <c r="L951" s="304">
        <f t="shared" ca="1" si="406"/>
        <v>755.74242697478269</v>
      </c>
      <c r="M951" s="306">
        <f t="shared" ca="1" si="422"/>
        <v>-1.4725834732378167</v>
      </c>
      <c r="N951" s="304">
        <f t="shared" ca="1" si="423"/>
        <v>-84.372817997242905</v>
      </c>
      <c r="P951" s="310">
        <f t="shared" ca="1" si="424"/>
        <v>23</v>
      </c>
      <c r="Q951" s="304">
        <f t="shared" ca="1" si="425"/>
        <v>0</v>
      </c>
      <c r="R951" s="306">
        <f t="shared" ca="1" si="426"/>
        <v>0</v>
      </c>
      <c r="S951" s="307">
        <f t="shared" ca="1" si="427"/>
        <v>7.9769999999999968</v>
      </c>
      <c r="T951" s="304">
        <f t="shared" ca="1" si="407"/>
        <v>78.254369999999966</v>
      </c>
      <c r="U951" s="311">
        <f t="shared" ca="1" si="408"/>
        <v>0</v>
      </c>
      <c r="V951" s="306">
        <f t="shared" ca="1" si="409"/>
        <v>1.2259273776962751</v>
      </c>
      <c r="W951" s="304">
        <f t="shared" ca="1" si="410"/>
        <v>59.276518313156075</v>
      </c>
      <c r="Y951" s="314" t="str">
        <f t="shared" ca="1" si="428"/>
        <v/>
      </c>
      <c r="Z951" s="315" t="str">
        <f t="shared" ca="1" si="429"/>
        <v/>
      </c>
      <c r="AA951" s="316" t="str">
        <f t="shared" ca="1" si="430"/>
        <v/>
      </c>
      <c r="AC951" s="310" t="e">
        <f t="shared" ca="1" si="431"/>
        <v>#N/A</v>
      </c>
      <c r="AD951" s="323" t="e">
        <f t="shared" ca="1" si="432"/>
        <v>#N/A</v>
      </c>
      <c r="AE951" s="324" t="e">
        <f t="shared" ca="1" si="411"/>
        <v>#N/A</v>
      </c>
      <c r="AG951" s="306">
        <f t="shared" ca="1" si="433"/>
        <v>2.331833659630739</v>
      </c>
      <c r="AH951" s="304">
        <f t="shared" ca="1" si="434"/>
        <v>-7.4308911183907433</v>
      </c>
    </row>
    <row r="952" spans="1:34" x14ac:dyDescent="0.2">
      <c r="A952" s="347">
        <f t="shared" ca="1" si="412"/>
        <v>1E-4</v>
      </c>
      <c r="B952" s="304">
        <f t="shared" ca="1" si="413"/>
        <v>33.643200000001642</v>
      </c>
      <c r="D952" s="306">
        <f t="shared" ca="1" si="414"/>
        <v>-0.72864001189177718</v>
      </c>
      <c r="E952" s="307">
        <f t="shared" ca="1" si="415"/>
        <v>-2.4148809871620971</v>
      </c>
      <c r="F952" s="304">
        <f t="shared" ca="1" si="416"/>
        <v>2.5224128228913352</v>
      </c>
      <c r="G952" s="306">
        <f t="shared" ca="1" si="417"/>
        <v>11.863406423802765</v>
      </c>
      <c r="H952" s="307">
        <f t="shared" ca="1" si="418"/>
        <v>-120.40515997709096</v>
      </c>
      <c r="I952" s="304">
        <f t="shared" ca="1" si="419"/>
        <v>120.98819347806294</v>
      </c>
      <c r="J952" s="306">
        <f t="shared" ca="1" si="420"/>
        <v>755.70453742140728</v>
      </c>
      <c r="K952" s="307">
        <f t="shared" ca="1" si="421"/>
        <v>-7.579606191216909</v>
      </c>
      <c r="L952" s="304">
        <f t="shared" ca="1" si="406"/>
        <v>755.74254763730028</v>
      </c>
      <c r="M952" s="306">
        <f t="shared" ca="1" si="422"/>
        <v>-1.4725842682905528</v>
      </c>
      <c r="N952" s="304">
        <f t="shared" ca="1" si="423"/>
        <v>-84.372863550409178</v>
      </c>
      <c r="P952" s="310">
        <f t="shared" ca="1" si="424"/>
        <v>23</v>
      </c>
      <c r="Q952" s="304">
        <f t="shared" ca="1" si="425"/>
        <v>0</v>
      </c>
      <c r="R952" s="306">
        <f t="shared" ca="1" si="426"/>
        <v>0</v>
      </c>
      <c r="S952" s="307">
        <f t="shared" ca="1" si="427"/>
        <v>7.9769999999999968</v>
      </c>
      <c r="T952" s="304">
        <f t="shared" ca="1" si="407"/>
        <v>78.254369999999966</v>
      </c>
      <c r="U952" s="311">
        <f t="shared" ca="1" si="408"/>
        <v>0</v>
      </c>
      <c r="V952" s="306">
        <f t="shared" ca="1" si="409"/>
        <v>1.2259288537757154</v>
      </c>
      <c r="W952" s="304">
        <f t="shared" ca="1" si="410"/>
        <v>59.276818172520436</v>
      </c>
      <c r="Y952" s="314" t="str">
        <f t="shared" ca="1" si="428"/>
        <v/>
      </c>
      <c r="Z952" s="315" t="str">
        <f t="shared" ca="1" si="429"/>
        <v/>
      </c>
      <c r="AA952" s="316" t="str">
        <f t="shared" ca="1" si="430"/>
        <v/>
      </c>
      <c r="AC952" s="310" t="e">
        <f t="shared" ca="1" si="431"/>
        <v>#N/A</v>
      </c>
      <c r="AD952" s="323" t="e">
        <f t="shared" ca="1" si="432"/>
        <v>#N/A</v>
      </c>
      <c r="AE952" s="324" t="e">
        <f t="shared" ca="1" si="411"/>
        <v>#N/A</v>
      </c>
      <c r="AG952" s="306">
        <f t="shared" ca="1" si="433"/>
        <v>2.331796833625881</v>
      </c>
      <c r="AH952" s="304">
        <f t="shared" ca="1" si="434"/>
        <v>-7.4309287091834149</v>
      </c>
    </row>
    <row r="953" spans="1:34" x14ac:dyDescent="0.2">
      <c r="A953" s="347">
        <f t="shared" ca="1" si="412"/>
        <v>1E-4</v>
      </c>
      <c r="B953" s="304">
        <f t="shared" ca="1" si="413"/>
        <v>33.643300000001645</v>
      </c>
      <c r="D953" s="306">
        <f t="shared" ca="1" si="414"/>
        <v>-0.72863781828951568</v>
      </c>
      <c r="E953" s="307">
        <f t="shared" ca="1" si="415"/>
        <v>-2.4148429985099007</v>
      </c>
      <c r="F953" s="304">
        <f t="shared" ca="1" si="416"/>
        <v>2.5223758200740019</v>
      </c>
      <c r="G953" s="306">
        <f t="shared" ca="1" si="417"/>
        <v>11.863333560020935</v>
      </c>
      <c r="H953" s="307">
        <f t="shared" ca="1" si="418"/>
        <v>-120.40540146139081</v>
      </c>
      <c r="I953" s="304">
        <f t="shared" ca="1" si="419"/>
        <v>120.98842665410197</v>
      </c>
      <c r="J953" s="306">
        <f t="shared" ca="1" si="420"/>
        <v>755.70453742140728</v>
      </c>
      <c r="K953" s="307">
        <f t="shared" ca="1" si="421"/>
        <v>-7.5916467192888328</v>
      </c>
      <c r="L953" s="304">
        <f t="shared" ca="1" si="406"/>
        <v>755.74266849187075</v>
      </c>
      <c r="M953" s="306">
        <f t="shared" ca="1" si="422"/>
        <v>-1.4725850633353412</v>
      </c>
      <c r="N953" s="304">
        <f t="shared" ca="1" si="423"/>
        <v>-84.37290910312008</v>
      </c>
      <c r="P953" s="310">
        <f t="shared" ca="1" si="424"/>
        <v>23</v>
      </c>
      <c r="Q953" s="304">
        <f t="shared" ca="1" si="425"/>
        <v>0</v>
      </c>
      <c r="R953" s="306">
        <f t="shared" ca="1" si="426"/>
        <v>0</v>
      </c>
      <c r="S953" s="307">
        <f t="shared" ca="1" si="427"/>
        <v>7.9769999999999968</v>
      </c>
      <c r="T953" s="304">
        <f t="shared" ca="1" si="407"/>
        <v>78.254369999999966</v>
      </c>
      <c r="U953" s="311">
        <f t="shared" ca="1" si="408"/>
        <v>0</v>
      </c>
      <c r="V953" s="306">
        <f t="shared" ca="1" si="409"/>
        <v>1.2259303298598943</v>
      </c>
      <c r="W953" s="304">
        <f t="shared" ca="1" si="410"/>
        <v>59.277118029496023</v>
      </c>
      <c r="Y953" s="314" t="str">
        <f t="shared" ca="1" si="428"/>
        <v/>
      </c>
      <c r="Z953" s="315" t="str">
        <f t="shared" ca="1" si="429"/>
        <v/>
      </c>
      <c r="AA953" s="316" t="str">
        <f t="shared" ca="1" si="430"/>
        <v/>
      </c>
      <c r="AC953" s="310" t="e">
        <f t="shared" ca="1" si="431"/>
        <v>#N/A</v>
      </c>
      <c r="AD953" s="323" t="e">
        <f t="shared" ca="1" si="432"/>
        <v>#N/A</v>
      </c>
      <c r="AE953" s="324" t="e">
        <f t="shared" ca="1" si="411"/>
        <v>#N/A</v>
      </c>
      <c r="AG953" s="306">
        <f t="shared" ca="1" si="433"/>
        <v>2.3317600079066629</v>
      </c>
      <c r="AH953" s="304">
        <f t="shared" ca="1" si="434"/>
        <v>-7.4309662996766281</v>
      </c>
    </row>
    <row r="954" spans="1:34" x14ac:dyDescent="0.2">
      <c r="A954" s="347">
        <f t="shared" ca="1" si="412"/>
        <v>1E-4</v>
      </c>
      <c r="B954" s="304">
        <f t="shared" ca="1" si="413"/>
        <v>33.643400000001648</v>
      </c>
      <c r="D954" s="306">
        <f t="shared" ca="1" si="414"/>
        <v>-0.72863562465672016</v>
      </c>
      <c r="E954" s="307">
        <f t="shared" ca="1" si="415"/>
        <v>-2.4148050101603218</v>
      </c>
      <c r="F954" s="304">
        <f t="shared" ca="1" si="416"/>
        <v>2.522338817568782</v>
      </c>
      <c r="G954" s="306">
        <f t="shared" ca="1" si="417"/>
        <v>11.86326069645847</v>
      </c>
      <c r="H954" s="307">
        <f t="shared" ca="1" si="418"/>
        <v>-120.40564294189183</v>
      </c>
      <c r="I954" s="304">
        <f t="shared" ca="1" si="419"/>
        <v>120.98865982645844</v>
      </c>
      <c r="J954" s="306">
        <f t="shared" ca="1" si="420"/>
        <v>755.70453742140728</v>
      </c>
      <c r="K954" s="307">
        <f t="shared" ca="1" si="421"/>
        <v>-7.6036872715089974</v>
      </c>
      <c r="L954" s="304">
        <f t="shared" ca="1" si="406"/>
        <v>755.74278953849512</v>
      </c>
      <c r="M954" s="306">
        <f t="shared" ca="1" si="422"/>
        <v>-1.472585858372182</v>
      </c>
      <c r="N954" s="304">
        <f t="shared" ca="1" si="423"/>
        <v>-84.372954655375608</v>
      </c>
      <c r="P954" s="310">
        <f t="shared" ca="1" si="424"/>
        <v>23</v>
      </c>
      <c r="Q954" s="304">
        <f t="shared" ca="1" si="425"/>
        <v>0</v>
      </c>
      <c r="R954" s="306">
        <f t="shared" ca="1" si="426"/>
        <v>0</v>
      </c>
      <c r="S954" s="307">
        <f t="shared" ca="1" si="427"/>
        <v>7.9769999999999968</v>
      </c>
      <c r="T954" s="304">
        <f t="shared" ca="1" si="407"/>
        <v>78.254369999999966</v>
      </c>
      <c r="U954" s="311">
        <f t="shared" ca="1" si="408"/>
        <v>0</v>
      </c>
      <c r="V954" s="306">
        <f t="shared" ca="1" si="409"/>
        <v>1.2259318059488116</v>
      </c>
      <c r="W954" s="304">
        <f t="shared" ca="1" si="410"/>
        <v>59.277417884082816</v>
      </c>
      <c r="Y954" s="314" t="str">
        <f t="shared" ca="1" si="428"/>
        <v/>
      </c>
      <c r="Z954" s="315" t="str">
        <f t="shared" ca="1" si="429"/>
        <v/>
      </c>
      <c r="AA954" s="316" t="str">
        <f t="shared" ca="1" si="430"/>
        <v/>
      </c>
      <c r="AC954" s="310" t="e">
        <f t="shared" ca="1" si="431"/>
        <v>#N/A</v>
      </c>
      <c r="AD954" s="323" t="e">
        <f t="shared" ca="1" si="432"/>
        <v>#N/A</v>
      </c>
      <c r="AE954" s="324" t="e">
        <f t="shared" ca="1" si="411"/>
        <v>#N/A</v>
      </c>
      <c r="AG954" s="306">
        <f t="shared" ca="1" si="433"/>
        <v>2.3317231824730884</v>
      </c>
      <c r="AH954" s="304">
        <f t="shared" ca="1" si="434"/>
        <v>-7.4310038898703832</v>
      </c>
    </row>
    <row r="955" spans="1:34" x14ac:dyDescent="0.2">
      <c r="A955" s="347">
        <f t="shared" ca="1" si="412"/>
        <v>1E-4</v>
      </c>
      <c r="B955" s="304">
        <f t="shared" ca="1" si="413"/>
        <v>33.643500000001652</v>
      </c>
      <c r="D955" s="306">
        <f t="shared" ca="1" si="414"/>
        <v>-0.72863343099339217</v>
      </c>
      <c r="E955" s="307">
        <f t="shared" ca="1" si="415"/>
        <v>-2.4147670221133666</v>
      </c>
      <c r="F955" s="304">
        <f t="shared" ca="1" si="416"/>
        <v>2.5223018153756818</v>
      </c>
      <c r="G955" s="306">
        <f t="shared" ca="1" si="417"/>
        <v>11.86318783311537</v>
      </c>
      <c r="H955" s="307">
        <f t="shared" ca="1" si="418"/>
        <v>-120.40588441859404</v>
      </c>
      <c r="I955" s="304">
        <f t="shared" ca="1" si="419"/>
        <v>120.98889299513243</v>
      </c>
      <c r="J955" s="306">
        <f t="shared" ca="1" si="420"/>
        <v>755.70453742140728</v>
      </c>
      <c r="K955" s="307">
        <f t="shared" ca="1" si="421"/>
        <v>-7.6157278478770216</v>
      </c>
      <c r="L955" s="304">
        <f t="shared" ca="1" si="406"/>
        <v>755.7429107771743</v>
      </c>
      <c r="M955" s="306">
        <f t="shared" ca="1" si="422"/>
        <v>-1.4725866534010754</v>
      </c>
      <c r="N955" s="304">
        <f t="shared" ca="1" si="423"/>
        <v>-84.373000207175792</v>
      </c>
      <c r="P955" s="310">
        <f t="shared" ca="1" si="424"/>
        <v>23</v>
      </c>
      <c r="Q955" s="304">
        <f t="shared" ca="1" si="425"/>
        <v>0</v>
      </c>
      <c r="R955" s="306">
        <f t="shared" ca="1" si="426"/>
        <v>0</v>
      </c>
      <c r="S955" s="307">
        <f t="shared" ca="1" si="427"/>
        <v>7.9769999999999968</v>
      </c>
      <c r="T955" s="304">
        <f t="shared" ca="1" si="407"/>
        <v>78.254369999999966</v>
      </c>
      <c r="U955" s="311">
        <f t="shared" ca="1" si="408"/>
        <v>0</v>
      </c>
      <c r="V955" s="306">
        <f t="shared" ca="1" si="409"/>
        <v>1.2259332820424671</v>
      </c>
      <c r="W955" s="304">
        <f t="shared" ca="1" si="410"/>
        <v>59.277717736280835</v>
      </c>
      <c r="Y955" s="314" t="str">
        <f t="shared" ca="1" si="428"/>
        <v/>
      </c>
      <c r="Z955" s="315" t="str">
        <f t="shared" ca="1" si="429"/>
        <v/>
      </c>
      <c r="AA955" s="316" t="str">
        <f t="shared" ca="1" si="430"/>
        <v/>
      </c>
      <c r="AC955" s="310" t="e">
        <f t="shared" ca="1" si="431"/>
        <v>#N/A</v>
      </c>
      <c r="AD955" s="323" t="e">
        <f t="shared" ca="1" si="432"/>
        <v>#N/A</v>
      </c>
      <c r="AE955" s="324" t="e">
        <f t="shared" ca="1" si="411"/>
        <v>#N/A</v>
      </c>
      <c r="AG955" s="306">
        <f t="shared" ca="1" si="433"/>
        <v>2.3316863573251592</v>
      </c>
      <c r="AH955" s="304">
        <f t="shared" ca="1" si="434"/>
        <v>-7.4310414797646782</v>
      </c>
    </row>
    <row r="956" spans="1:34" x14ac:dyDescent="0.2">
      <c r="A956" s="347">
        <f t="shared" ca="1" si="412"/>
        <v>1E-4</v>
      </c>
      <c r="B956" s="304">
        <f t="shared" ca="1" si="413"/>
        <v>33.643600000001655</v>
      </c>
      <c r="D956" s="306">
        <f t="shared" ca="1" si="414"/>
        <v>-0.72863123729953205</v>
      </c>
      <c r="E956" s="307">
        <f t="shared" ca="1" si="415"/>
        <v>-2.4147290343690297</v>
      </c>
      <c r="F956" s="304">
        <f t="shared" ca="1" si="416"/>
        <v>2.5222648134946959</v>
      </c>
      <c r="G956" s="306">
        <f t="shared" ca="1" si="417"/>
        <v>11.86311496999164</v>
      </c>
      <c r="H956" s="307">
        <f t="shared" ca="1" si="418"/>
        <v>-120.40612589149748</v>
      </c>
      <c r="I956" s="304">
        <f t="shared" ca="1" si="419"/>
        <v>120.9891261601239</v>
      </c>
      <c r="J956" s="306">
        <f t="shared" ca="1" si="420"/>
        <v>755.70453742140728</v>
      </c>
      <c r="K956" s="307">
        <f t="shared" ca="1" si="421"/>
        <v>-7.6277684483925263</v>
      </c>
      <c r="L956" s="304">
        <f t="shared" ca="1" si="406"/>
        <v>755.74303220790955</v>
      </c>
      <c r="M956" s="306">
        <f t="shared" ca="1" si="422"/>
        <v>-1.4725874484220214</v>
      </c>
      <c r="N956" s="304">
        <f t="shared" ca="1" si="423"/>
        <v>-84.373045758520618</v>
      </c>
      <c r="P956" s="310">
        <f t="shared" ca="1" si="424"/>
        <v>23</v>
      </c>
      <c r="Q956" s="304">
        <f t="shared" ca="1" si="425"/>
        <v>0</v>
      </c>
      <c r="R956" s="306">
        <f t="shared" ca="1" si="426"/>
        <v>0</v>
      </c>
      <c r="S956" s="307">
        <f t="shared" ca="1" si="427"/>
        <v>7.9769999999999968</v>
      </c>
      <c r="T956" s="304">
        <f t="shared" ca="1" si="407"/>
        <v>78.254369999999966</v>
      </c>
      <c r="U956" s="311">
        <f t="shared" ca="1" si="408"/>
        <v>0</v>
      </c>
      <c r="V956" s="306">
        <f t="shared" ca="1" si="409"/>
        <v>1.2259347581408611</v>
      </c>
      <c r="W956" s="304">
        <f t="shared" ca="1" si="410"/>
        <v>59.278017586090044</v>
      </c>
      <c r="Y956" s="314" t="str">
        <f t="shared" ca="1" si="428"/>
        <v/>
      </c>
      <c r="Z956" s="315" t="str">
        <f t="shared" ca="1" si="429"/>
        <v/>
      </c>
      <c r="AA956" s="316" t="str">
        <f t="shared" ca="1" si="430"/>
        <v/>
      </c>
      <c r="AC956" s="310" t="e">
        <f t="shared" ca="1" si="431"/>
        <v>#N/A</v>
      </c>
      <c r="AD956" s="323" t="e">
        <f t="shared" ca="1" si="432"/>
        <v>#N/A</v>
      </c>
      <c r="AE956" s="324" t="e">
        <f t="shared" ca="1" si="411"/>
        <v>#N/A</v>
      </c>
      <c r="AG956" s="306">
        <f t="shared" ca="1" si="433"/>
        <v>2.3316495324628708</v>
      </c>
      <c r="AH956" s="304">
        <f t="shared" ca="1" si="434"/>
        <v>-7.4310790693595159</v>
      </c>
    </row>
    <row r="957" spans="1:34" x14ac:dyDescent="0.2">
      <c r="A957" s="347">
        <f t="shared" ca="1" si="412"/>
        <v>1E-4</v>
      </c>
      <c r="B957" s="304">
        <f t="shared" ca="1" si="413"/>
        <v>33.643700000001658</v>
      </c>
      <c r="D957" s="306">
        <f t="shared" ca="1" si="414"/>
        <v>-0.72862904357514069</v>
      </c>
      <c r="E957" s="307">
        <f t="shared" ca="1" si="415"/>
        <v>-2.4146910469273148</v>
      </c>
      <c r="F957" s="304">
        <f t="shared" ca="1" si="416"/>
        <v>2.5222278119258292</v>
      </c>
      <c r="G957" s="306">
        <f t="shared" ca="1" si="417"/>
        <v>11.863042107087283</v>
      </c>
      <c r="H957" s="307">
        <f t="shared" ca="1" si="418"/>
        <v>-120.40636736060218</v>
      </c>
      <c r="I957" s="304">
        <f t="shared" ca="1" si="419"/>
        <v>120.98935932143294</v>
      </c>
      <c r="J957" s="306">
        <f t="shared" ca="1" si="420"/>
        <v>755.70453742140728</v>
      </c>
      <c r="K957" s="307">
        <f t="shared" ca="1" si="421"/>
        <v>-7.6398090730551313</v>
      </c>
      <c r="L957" s="304">
        <f t="shared" ca="1" si="406"/>
        <v>755.74315383070189</v>
      </c>
      <c r="M957" s="306">
        <f t="shared" ca="1" si="422"/>
        <v>-1.4725882434350204</v>
      </c>
      <c r="N957" s="304">
        <f t="shared" ca="1" si="423"/>
        <v>-84.373091309410128</v>
      </c>
      <c r="P957" s="310">
        <f t="shared" ca="1" si="424"/>
        <v>23</v>
      </c>
      <c r="Q957" s="304">
        <f t="shared" ca="1" si="425"/>
        <v>0</v>
      </c>
      <c r="R957" s="306">
        <f t="shared" ca="1" si="426"/>
        <v>0</v>
      </c>
      <c r="S957" s="307">
        <f t="shared" ca="1" si="427"/>
        <v>7.9769999999999968</v>
      </c>
      <c r="T957" s="304">
        <f t="shared" ca="1" si="407"/>
        <v>78.254369999999966</v>
      </c>
      <c r="U957" s="311">
        <f t="shared" ca="1" si="408"/>
        <v>0</v>
      </c>
      <c r="V957" s="306">
        <f t="shared" ca="1" si="409"/>
        <v>1.2259362342439928</v>
      </c>
      <c r="W957" s="304">
        <f t="shared" ca="1" si="410"/>
        <v>59.278317433510452</v>
      </c>
      <c r="Y957" s="314" t="str">
        <f t="shared" ca="1" si="428"/>
        <v/>
      </c>
      <c r="Z957" s="315" t="str">
        <f t="shared" ca="1" si="429"/>
        <v/>
      </c>
      <c r="AA957" s="316" t="str">
        <f t="shared" ca="1" si="430"/>
        <v/>
      </c>
      <c r="AC957" s="310" t="e">
        <f t="shared" ca="1" si="431"/>
        <v>#N/A</v>
      </c>
      <c r="AD957" s="323" t="e">
        <f t="shared" ca="1" si="432"/>
        <v>#N/A</v>
      </c>
      <c r="AE957" s="324" t="e">
        <f t="shared" ca="1" si="411"/>
        <v>#N/A</v>
      </c>
      <c r="AG957" s="306">
        <f t="shared" ca="1" si="433"/>
        <v>2.3316127078862294</v>
      </c>
      <c r="AH957" s="304">
        <f t="shared" ca="1" si="434"/>
        <v>-7.4311166586548918</v>
      </c>
    </row>
    <row r="958" spans="1:34" x14ac:dyDescent="0.2">
      <c r="A958" s="347">
        <f t="shared" ca="1" si="412"/>
        <v>1E-4</v>
      </c>
      <c r="B958" s="304">
        <f t="shared" ca="1" si="413"/>
        <v>33.643800000001661</v>
      </c>
      <c r="D958" s="306">
        <f t="shared" ca="1" si="414"/>
        <v>-0.72862684982021664</v>
      </c>
      <c r="E958" s="307">
        <f t="shared" ca="1" si="415"/>
        <v>-2.4146530597882245</v>
      </c>
      <c r="F958" s="304">
        <f t="shared" ca="1" si="416"/>
        <v>2.5221908106690836</v>
      </c>
      <c r="G958" s="306">
        <f t="shared" ca="1" si="417"/>
        <v>11.862969244402301</v>
      </c>
      <c r="H958" s="307">
        <f t="shared" ca="1" si="418"/>
        <v>-120.40660882590815</v>
      </c>
      <c r="I958" s="304">
        <f t="shared" ca="1" si="419"/>
        <v>120.98959247905952</v>
      </c>
      <c r="J958" s="306">
        <f t="shared" ca="1" si="420"/>
        <v>755.70453742140728</v>
      </c>
      <c r="K958" s="307">
        <f t="shared" ca="1" si="421"/>
        <v>-7.6518497218644566</v>
      </c>
      <c r="L958" s="304">
        <f t="shared" ca="1" si="406"/>
        <v>755.74327564555222</v>
      </c>
      <c r="M958" s="306">
        <f t="shared" ca="1" si="422"/>
        <v>-1.4725890384400722</v>
      </c>
      <c r="N958" s="304">
        <f t="shared" ca="1" si="423"/>
        <v>-84.37313685984428</v>
      </c>
      <c r="P958" s="310">
        <f t="shared" ca="1" si="424"/>
        <v>23</v>
      </c>
      <c r="Q958" s="304">
        <f t="shared" ca="1" si="425"/>
        <v>0</v>
      </c>
      <c r="R958" s="306">
        <f t="shared" ca="1" si="426"/>
        <v>0</v>
      </c>
      <c r="S958" s="307">
        <f t="shared" ca="1" si="427"/>
        <v>7.9769999999999968</v>
      </c>
      <c r="T958" s="304">
        <f t="shared" ca="1" si="407"/>
        <v>78.254369999999966</v>
      </c>
      <c r="U958" s="311">
        <f t="shared" ca="1" si="408"/>
        <v>0</v>
      </c>
      <c r="V958" s="306">
        <f t="shared" ca="1" si="409"/>
        <v>1.2259377103518632</v>
      </c>
      <c r="W958" s="304">
        <f t="shared" ca="1" si="410"/>
        <v>59.278617278542072</v>
      </c>
      <c r="Y958" s="314" t="str">
        <f t="shared" ca="1" si="428"/>
        <v/>
      </c>
      <c r="Z958" s="315" t="str">
        <f t="shared" ca="1" si="429"/>
        <v/>
      </c>
      <c r="AA958" s="316" t="str">
        <f t="shared" ca="1" si="430"/>
        <v/>
      </c>
      <c r="AC958" s="310" t="e">
        <f t="shared" ca="1" si="431"/>
        <v>#N/A</v>
      </c>
      <c r="AD958" s="323" t="e">
        <f t="shared" ca="1" si="432"/>
        <v>#N/A</v>
      </c>
      <c r="AE958" s="324" t="e">
        <f t="shared" ca="1" si="411"/>
        <v>#N/A</v>
      </c>
      <c r="AG958" s="306">
        <f t="shared" ca="1" si="433"/>
        <v>2.3315758835952334</v>
      </c>
      <c r="AH958" s="304">
        <f t="shared" ca="1" si="434"/>
        <v>-7.4311542476508059</v>
      </c>
    </row>
    <row r="959" spans="1:34" x14ac:dyDescent="0.2">
      <c r="A959" s="347">
        <f t="shared" ca="1" si="412"/>
        <v>1E-4</v>
      </c>
      <c r="B959" s="304">
        <f t="shared" ca="1" si="413"/>
        <v>33.643900000001665</v>
      </c>
      <c r="D959" s="306">
        <f t="shared" ca="1" si="414"/>
        <v>-0.72862465603476323</v>
      </c>
      <c r="E959" s="307">
        <f t="shared" ca="1" si="415"/>
        <v>-2.4146150729517544</v>
      </c>
      <c r="F959" s="304">
        <f t="shared" ca="1" si="416"/>
        <v>2.5221538097244554</v>
      </c>
      <c r="G959" s="306">
        <f t="shared" ca="1" si="417"/>
        <v>11.862896381936697</v>
      </c>
      <c r="H959" s="307">
        <f t="shared" ca="1" si="418"/>
        <v>-120.40685028741545</v>
      </c>
      <c r="I959" s="304">
        <f t="shared" ca="1" si="419"/>
        <v>120.98982563300372</v>
      </c>
      <c r="J959" s="306">
        <f t="shared" ca="1" si="420"/>
        <v>755.70453742140728</v>
      </c>
      <c r="K959" s="307">
        <f t="shared" ca="1" si="421"/>
        <v>-7.6638903948201227</v>
      </c>
      <c r="L959" s="304">
        <f t="shared" ca="1" si="406"/>
        <v>755.74339765246179</v>
      </c>
      <c r="M959" s="306">
        <f t="shared" ca="1" si="422"/>
        <v>-1.472589833437177</v>
      </c>
      <c r="N959" s="304">
        <f t="shared" ca="1" si="423"/>
        <v>-84.373182409823116</v>
      </c>
      <c r="P959" s="310">
        <f t="shared" ca="1" si="424"/>
        <v>23</v>
      </c>
      <c r="Q959" s="304">
        <f t="shared" ca="1" si="425"/>
        <v>0</v>
      </c>
      <c r="R959" s="306">
        <f t="shared" ca="1" si="426"/>
        <v>0</v>
      </c>
      <c r="S959" s="307">
        <f t="shared" ca="1" si="427"/>
        <v>7.9769999999999968</v>
      </c>
      <c r="T959" s="304">
        <f t="shared" ca="1" si="407"/>
        <v>78.254369999999966</v>
      </c>
      <c r="U959" s="311">
        <f t="shared" ca="1" si="408"/>
        <v>0</v>
      </c>
      <c r="V959" s="306">
        <f t="shared" ca="1" si="409"/>
        <v>1.2259391864644715</v>
      </c>
      <c r="W959" s="304">
        <f t="shared" ca="1" si="410"/>
        <v>59.278917121184868</v>
      </c>
      <c r="Y959" s="314" t="str">
        <f t="shared" ca="1" si="428"/>
        <v/>
      </c>
      <c r="Z959" s="315" t="str">
        <f t="shared" ca="1" si="429"/>
        <v/>
      </c>
      <c r="AA959" s="316" t="str">
        <f t="shared" ca="1" si="430"/>
        <v/>
      </c>
      <c r="AC959" s="310" t="e">
        <f t="shared" ca="1" si="431"/>
        <v>#N/A</v>
      </c>
      <c r="AD959" s="323" t="e">
        <f t="shared" ca="1" si="432"/>
        <v>#N/A</v>
      </c>
      <c r="AE959" s="324" t="e">
        <f t="shared" ca="1" si="411"/>
        <v>#N/A</v>
      </c>
      <c r="AG959" s="306">
        <f t="shared" ca="1" si="433"/>
        <v>2.3315390595898862</v>
      </c>
      <c r="AH959" s="304">
        <f t="shared" ca="1" si="434"/>
        <v>-7.43119183634726</v>
      </c>
    </row>
    <row r="960" spans="1:34" x14ac:dyDescent="0.2">
      <c r="A960" s="347">
        <f t="shared" ca="1" si="412"/>
        <v>1E-4</v>
      </c>
      <c r="B960" s="304">
        <f t="shared" ca="1" si="413"/>
        <v>33.644000000001668</v>
      </c>
      <c r="D960" s="306">
        <f t="shared" ca="1" si="414"/>
        <v>-0.72862246221878013</v>
      </c>
      <c r="E960" s="307">
        <f t="shared" ca="1" si="415"/>
        <v>-2.4145770864179097</v>
      </c>
      <c r="F960" s="304">
        <f t="shared" ca="1" si="416"/>
        <v>2.5221168090919499</v>
      </c>
      <c r="G960" s="306">
        <f t="shared" ca="1" si="417"/>
        <v>11.862823519690474</v>
      </c>
      <c r="H960" s="307">
        <f t="shared" ca="1" si="418"/>
        <v>-120.40709174512409</v>
      </c>
      <c r="I960" s="304">
        <f t="shared" ca="1" si="419"/>
        <v>120.99005878326555</v>
      </c>
      <c r="J960" s="306">
        <f t="shared" ca="1" si="420"/>
        <v>755.70453742140728</v>
      </c>
      <c r="K960" s="307">
        <f t="shared" ca="1" si="421"/>
        <v>-7.6759310919217496</v>
      </c>
      <c r="L960" s="304">
        <f t="shared" ca="1" si="406"/>
        <v>755.74351985143153</v>
      </c>
      <c r="M960" s="306">
        <f t="shared" ca="1" si="422"/>
        <v>-1.472590628426335</v>
      </c>
      <c r="N960" s="304">
        <f t="shared" ca="1" si="423"/>
        <v>-84.373227959346636</v>
      </c>
      <c r="P960" s="310">
        <f t="shared" ca="1" si="424"/>
        <v>23</v>
      </c>
      <c r="Q960" s="304">
        <f t="shared" ca="1" si="425"/>
        <v>0</v>
      </c>
      <c r="R960" s="306">
        <f t="shared" ca="1" si="426"/>
        <v>0</v>
      </c>
      <c r="S960" s="307">
        <f t="shared" ca="1" si="427"/>
        <v>7.9769999999999968</v>
      </c>
      <c r="T960" s="304">
        <f t="shared" ca="1" si="407"/>
        <v>78.254369999999966</v>
      </c>
      <c r="U960" s="311">
        <f t="shared" ca="1" si="408"/>
        <v>0</v>
      </c>
      <c r="V960" s="306">
        <f t="shared" ca="1" si="409"/>
        <v>1.2259406625818186</v>
      </c>
      <c r="W960" s="304">
        <f t="shared" ca="1" si="410"/>
        <v>59.279216961438905</v>
      </c>
      <c r="Y960" s="314" t="str">
        <f t="shared" ca="1" si="428"/>
        <v/>
      </c>
      <c r="Z960" s="315" t="str">
        <f t="shared" ca="1" si="429"/>
        <v/>
      </c>
      <c r="AA960" s="316" t="str">
        <f t="shared" ca="1" si="430"/>
        <v/>
      </c>
      <c r="AC960" s="310" t="e">
        <f t="shared" ca="1" si="431"/>
        <v>#N/A</v>
      </c>
      <c r="AD960" s="323" t="e">
        <f t="shared" ca="1" si="432"/>
        <v>#N/A</v>
      </c>
      <c r="AE960" s="324" t="e">
        <f t="shared" ca="1" si="411"/>
        <v>#N/A</v>
      </c>
      <c r="AG960" s="306">
        <f t="shared" ca="1" si="433"/>
        <v>2.3315022358701833</v>
      </c>
      <c r="AH960" s="304">
        <f t="shared" ca="1" si="434"/>
        <v>-7.4312294247442514</v>
      </c>
    </row>
    <row r="961" spans="1:34" x14ac:dyDescent="0.2">
      <c r="A961" s="347">
        <f t="shared" ca="1" si="412"/>
        <v>1E-4</v>
      </c>
      <c r="B961" s="304">
        <f t="shared" ca="1" si="413"/>
        <v>33.644100000001671</v>
      </c>
      <c r="D961" s="306">
        <f t="shared" ca="1" si="414"/>
        <v>-0.72862026837226812</v>
      </c>
      <c r="E961" s="307">
        <f t="shared" ca="1" si="415"/>
        <v>-2.4145391001866825</v>
      </c>
      <c r="F961" s="304">
        <f t="shared" ca="1" si="416"/>
        <v>2.5220798087715606</v>
      </c>
      <c r="G961" s="306">
        <f t="shared" ca="1" si="417"/>
        <v>11.862750657663637</v>
      </c>
      <c r="H961" s="307">
        <f t="shared" ca="1" si="418"/>
        <v>-120.40733319903411</v>
      </c>
      <c r="I961" s="304">
        <f t="shared" ca="1" si="419"/>
        <v>120.99029192984501</v>
      </c>
      <c r="J961" s="306">
        <f t="shared" ca="1" si="420"/>
        <v>755.70453742140728</v>
      </c>
      <c r="K961" s="307">
        <f t="shared" ca="1" si="421"/>
        <v>-7.6879718131689572</v>
      </c>
      <c r="L961" s="304">
        <f t="shared" ca="1" si="406"/>
        <v>755.74364224246256</v>
      </c>
      <c r="M961" s="306">
        <f t="shared" ca="1" si="422"/>
        <v>-1.4725914234075463</v>
      </c>
      <c r="N961" s="304">
        <f t="shared" ca="1" si="423"/>
        <v>-84.373273508414826</v>
      </c>
      <c r="P961" s="310">
        <f t="shared" ca="1" si="424"/>
        <v>23</v>
      </c>
      <c r="Q961" s="304">
        <f t="shared" ca="1" si="425"/>
        <v>0</v>
      </c>
      <c r="R961" s="306">
        <f t="shared" ca="1" si="426"/>
        <v>0</v>
      </c>
      <c r="S961" s="307">
        <f t="shared" ca="1" si="427"/>
        <v>7.9769999999999968</v>
      </c>
      <c r="T961" s="304">
        <f t="shared" ca="1" si="407"/>
        <v>78.254369999999966</v>
      </c>
      <c r="U961" s="311">
        <f t="shared" ca="1" si="408"/>
        <v>0</v>
      </c>
      <c r="V961" s="306">
        <f t="shared" ca="1" si="409"/>
        <v>1.2259421387039031</v>
      </c>
      <c r="W961" s="304">
        <f t="shared" ca="1" si="410"/>
        <v>59.279516799304062</v>
      </c>
      <c r="Y961" s="314" t="str">
        <f t="shared" ca="1" si="428"/>
        <v/>
      </c>
      <c r="Z961" s="315" t="str">
        <f t="shared" ca="1" si="429"/>
        <v/>
      </c>
      <c r="AA961" s="316" t="str">
        <f t="shared" ca="1" si="430"/>
        <v/>
      </c>
      <c r="AC961" s="310" t="e">
        <f t="shared" ca="1" si="431"/>
        <v>#N/A</v>
      </c>
      <c r="AD961" s="323" t="e">
        <f t="shared" ca="1" si="432"/>
        <v>#N/A</v>
      </c>
      <c r="AE961" s="324" t="e">
        <f t="shared" ca="1" si="411"/>
        <v>#N/A</v>
      </c>
      <c r="AG961" s="306">
        <f t="shared" ca="1" si="433"/>
        <v>2.3314654124361276</v>
      </c>
      <c r="AH961" s="304">
        <f t="shared" ca="1" si="434"/>
        <v>-7.4312670128417864</v>
      </c>
    </row>
    <row r="962" spans="1:34" x14ac:dyDescent="0.2">
      <c r="A962" s="347">
        <f t="shared" ca="1" si="412"/>
        <v>1E-4</v>
      </c>
      <c r="B962" s="304">
        <f t="shared" ca="1" si="413"/>
        <v>33.644200000001675</v>
      </c>
      <c r="D962" s="306">
        <f t="shared" ca="1" si="414"/>
        <v>-0.7286180744952272</v>
      </c>
      <c r="E962" s="307">
        <f t="shared" ca="1" si="415"/>
        <v>-2.4145011142580879</v>
      </c>
      <c r="F962" s="304">
        <f t="shared" ca="1" si="416"/>
        <v>2.5220428087633011</v>
      </c>
      <c r="G962" s="306">
        <f t="shared" ca="1" si="417"/>
        <v>11.862677795856188</v>
      </c>
      <c r="H962" s="307">
        <f t="shared" ca="1" si="418"/>
        <v>-120.40757464914554</v>
      </c>
      <c r="I962" s="304">
        <f t="shared" ca="1" si="419"/>
        <v>120.99052507274219</v>
      </c>
      <c r="J962" s="306">
        <f t="shared" ca="1" si="420"/>
        <v>755.70453742140728</v>
      </c>
      <c r="K962" s="307">
        <f t="shared" ca="1" si="421"/>
        <v>-7.7000125585613661</v>
      </c>
      <c r="L962" s="304">
        <f t="shared" ca="1" si="406"/>
        <v>755.7437648255559</v>
      </c>
      <c r="M962" s="306">
        <f t="shared" ca="1" si="422"/>
        <v>-1.4725922183808109</v>
      </c>
      <c r="N962" s="304">
        <f t="shared" ca="1" si="423"/>
        <v>-84.373319057027715</v>
      </c>
      <c r="P962" s="310">
        <f t="shared" ca="1" si="424"/>
        <v>23</v>
      </c>
      <c r="Q962" s="304">
        <f t="shared" ca="1" si="425"/>
        <v>0</v>
      </c>
      <c r="R962" s="306">
        <f t="shared" ca="1" si="426"/>
        <v>0</v>
      </c>
      <c r="S962" s="307">
        <f t="shared" ca="1" si="427"/>
        <v>7.9769999999999968</v>
      </c>
      <c r="T962" s="304">
        <f t="shared" ca="1" si="407"/>
        <v>78.254369999999966</v>
      </c>
      <c r="U962" s="311">
        <f t="shared" ca="1" si="408"/>
        <v>0</v>
      </c>
      <c r="V962" s="306">
        <f t="shared" ca="1" si="409"/>
        <v>1.2259436148307263</v>
      </c>
      <c r="W962" s="304">
        <f t="shared" ca="1" si="410"/>
        <v>59.279816634780467</v>
      </c>
      <c r="Y962" s="314" t="str">
        <f t="shared" ca="1" si="428"/>
        <v/>
      </c>
      <c r="Z962" s="315" t="str">
        <f t="shared" ca="1" si="429"/>
        <v/>
      </c>
      <c r="AA962" s="316" t="str">
        <f t="shared" ca="1" si="430"/>
        <v/>
      </c>
      <c r="AC962" s="310" t="e">
        <f t="shared" ca="1" si="431"/>
        <v>#N/A</v>
      </c>
      <c r="AD962" s="323" t="e">
        <f t="shared" ca="1" si="432"/>
        <v>#N/A</v>
      </c>
      <c r="AE962" s="324" t="e">
        <f t="shared" ca="1" si="411"/>
        <v>#N/A</v>
      </c>
      <c r="AG962" s="306">
        <f t="shared" ca="1" si="433"/>
        <v>2.331428589287726</v>
      </c>
      <c r="AH962" s="304">
        <f t="shared" ca="1" si="434"/>
        <v>-7.4313046006398507</v>
      </c>
    </row>
    <row r="963" spans="1:34" x14ac:dyDescent="0.2">
      <c r="A963" s="347">
        <f t="shared" ca="1" si="412"/>
        <v>1E-4</v>
      </c>
      <c r="B963" s="304">
        <f t="shared" ca="1" si="413"/>
        <v>33.644300000001678</v>
      </c>
      <c r="D963" s="306">
        <f t="shared" ca="1" si="414"/>
        <v>-0.72861588058766058</v>
      </c>
      <c r="E963" s="307">
        <f t="shared" ca="1" si="415"/>
        <v>-2.4144631286321099</v>
      </c>
      <c r="F963" s="304">
        <f t="shared" ca="1" si="416"/>
        <v>2.5220058090671578</v>
      </c>
      <c r="G963" s="306">
        <f t="shared" ca="1" si="417"/>
        <v>11.862604934268129</v>
      </c>
      <c r="H963" s="307">
        <f t="shared" ca="1" si="418"/>
        <v>-120.40781609545841</v>
      </c>
      <c r="I963" s="304">
        <f t="shared" ca="1" si="419"/>
        <v>120.99075821195707</v>
      </c>
      <c r="J963" s="306">
        <f t="shared" ca="1" si="420"/>
        <v>755.70453742140728</v>
      </c>
      <c r="K963" s="307">
        <f t="shared" ca="1" si="421"/>
        <v>-7.7120533280985963</v>
      </c>
      <c r="L963" s="304">
        <f t="shared" ca="1" si="406"/>
        <v>755.74388760071258</v>
      </c>
      <c r="M963" s="306">
        <f t="shared" ca="1" si="422"/>
        <v>-1.4725930133461291</v>
      </c>
      <c r="N963" s="304">
        <f t="shared" ca="1" si="423"/>
        <v>-84.373364605185316</v>
      </c>
      <c r="P963" s="310">
        <f t="shared" ca="1" si="424"/>
        <v>23</v>
      </c>
      <c r="Q963" s="304">
        <f t="shared" ca="1" si="425"/>
        <v>0</v>
      </c>
      <c r="R963" s="306">
        <f t="shared" ca="1" si="426"/>
        <v>0</v>
      </c>
      <c r="S963" s="307">
        <f t="shared" ca="1" si="427"/>
        <v>7.9769999999999968</v>
      </c>
      <c r="T963" s="304">
        <f t="shared" ca="1" si="407"/>
        <v>78.254369999999966</v>
      </c>
      <c r="U963" s="311">
        <f t="shared" ca="1" si="408"/>
        <v>0</v>
      </c>
      <c r="V963" s="306">
        <f t="shared" ca="1" si="409"/>
        <v>1.2259450909622871</v>
      </c>
      <c r="W963" s="304">
        <f t="shared" ca="1" si="410"/>
        <v>59.280116467868041</v>
      </c>
      <c r="Y963" s="314" t="str">
        <f t="shared" ca="1" si="428"/>
        <v/>
      </c>
      <c r="Z963" s="315" t="str">
        <f t="shared" ca="1" si="429"/>
        <v/>
      </c>
      <c r="AA963" s="316" t="str">
        <f t="shared" ca="1" si="430"/>
        <v/>
      </c>
      <c r="AC963" s="310" t="e">
        <f t="shared" ca="1" si="431"/>
        <v>#N/A</v>
      </c>
      <c r="AD963" s="323" t="e">
        <f t="shared" ca="1" si="432"/>
        <v>#N/A</v>
      </c>
      <c r="AE963" s="324" t="e">
        <f t="shared" ca="1" si="411"/>
        <v>#N/A</v>
      </c>
      <c r="AG963" s="306">
        <f t="shared" ca="1" si="433"/>
        <v>2.3313917664249653</v>
      </c>
      <c r="AH963" s="304">
        <f t="shared" ca="1" si="434"/>
        <v>-7.4313421881384594</v>
      </c>
    </row>
    <row r="964" spans="1:34" x14ac:dyDescent="0.2">
      <c r="A964" s="347">
        <f t="shared" ca="1" si="412"/>
        <v>1E-4</v>
      </c>
      <c r="B964" s="304">
        <f t="shared" ca="1" si="413"/>
        <v>33.644400000001681</v>
      </c>
      <c r="D964" s="306">
        <f t="shared" ca="1" si="414"/>
        <v>-0.72861368664956572</v>
      </c>
      <c r="E964" s="307">
        <f t="shared" ca="1" si="415"/>
        <v>-2.4144251433087573</v>
      </c>
      <c r="F964" s="304">
        <f t="shared" ca="1" si="416"/>
        <v>2.5219688096831381</v>
      </c>
      <c r="G964" s="306">
        <f t="shared" ca="1" si="417"/>
        <v>11.862532072899464</v>
      </c>
      <c r="H964" s="307">
        <f t="shared" ca="1" si="418"/>
        <v>-120.40805753797275</v>
      </c>
      <c r="I964" s="304">
        <f t="shared" ca="1" si="419"/>
        <v>120.9909913474897</v>
      </c>
      <c r="J964" s="306">
        <f t="shared" ca="1" si="420"/>
        <v>755.70453742140728</v>
      </c>
      <c r="K964" s="307">
        <f t="shared" ca="1" si="421"/>
        <v>-7.7240941217802677</v>
      </c>
      <c r="L964" s="304">
        <f t="shared" ref="L964:L1004" ca="1" si="435">SQRT(pos_x^2+pos_z^2)</f>
        <v>755.74401056793386</v>
      </c>
      <c r="M964" s="306">
        <f t="shared" ca="1" si="422"/>
        <v>-1.4725938083035011</v>
      </c>
      <c r="N964" s="304">
        <f t="shared" ca="1" si="423"/>
        <v>-84.373410152887615</v>
      </c>
      <c r="P964" s="310">
        <f t="shared" ca="1" si="424"/>
        <v>23</v>
      </c>
      <c r="Q964" s="304">
        <f t="shared" ca="1" si="425"/>
        <v>0</v>
      </c>
      <c r="R964" s="306">
        <f t="shared" ca="1" si="426"/>
        <v>0</v>
      </c>
      <c r="S964" s="307">
        <f t="shared" ca="1" si="427"/>
        <v>7.9769999999999968</v>
      </c>
      <c r="T964" s="304">
        <f t="shared" ref="T964:T1004" ca="1" si="436">m*g</f>
        <v>78.254369999999966</v>
      </c>
      <c r="U964" s="311">
        <f t="shared" ref="U964:U1004" ca="1" si="437">IF(pos_xz&lt;L_rampe,Poids*COS(Beta),0)</f>
        <v>0</v>
      </c>
      <c r="V964" s="306">
        <f t="shared" ref="V964:V1004" ca="1" si="438">Rho_moyen*(20000-Alt_rampe-pos_z)/(20000+Alt_rampe+pos_z)</f>
        <v>1.2259465670985861</v>
      </c>
      <c r="W964" s="304">
        <f t="shared" ref="W964:W1003" ca="1" si="439">1/2*Rho*Sref*Cx*vit_xz^2</f>
        <v>59.280416298566792</v>
      </c>
      <c r="Y964" s="314" t="str">
        <f t="shared" ca="1" si="428"/>
        <v/>
      </c>
      <c r="Z964" s="315" t="str">
        <f t="shared" ca="1" si="429"/>
        <v/>
      </c>
      <c r="AA964" s="316" t="str">
        <f t="shared" ca="1" si="430"/>
        <v/>
      </c>
      <c r="AC964" s="310" t="e">
        <f t="shared" ca="1" si="431"/>
        <v>#N/A</v>
      </c>
      <c r="AD964" s="323" t="e">
        <f t="shared" ca="1" si="432"/>
        <v>#N/A</v>
      </c>
      <c r="AE964" s="324" t="e">
        <f t="shared" ref="AE964:AE1004" ca="1" si="440">IF(t&lt;T_para, pos_z, NA())</f>
        <v>#N/A</v>
      </c>
      <c r="AG964" s="306">
        <f t="shared" ca="1" si="433"/>
        <v>2.3313549438478596</v>
      </c>
      <c r="AH964" s="304">
        <f t="shared" ca="1" si="434"/>
        <v>-7.4313797753376036</v>
      </c>
    </row>
    <row r="965" spans="1:34" x14ac:dyDescent="0.2">
      <c r="A965" s="347">
        <f t="shared" ref="A965:A1004" ca="1" si="441">IF(B964+0.01&lt;=T_ini+ROUNDUP(Temps_fin_propu,0), 0.01, IF(K964&gt;0, 0.1, 0.0001))</f>
        <v>1E-4</v>
      </c>
      <c r="B965" s="304">
        <f t="shared" ref="B965:B1004" ca="1" si="442">B964+pas</f>
        <v>33.644500000001685</v>
      </c>
      <c r="D965" s="306">
        <f t="shared" ref="D965:D1004" ca="1" si="443">IF(AND(L964&lt;L_rampe,Poussee&lt;Poids*SIN(M964)),0,(-W964+Poussee)/m*COS(M964)-U964/m*SIN(M964))</f>
        <v>-0.72861149268094438</v>
      </c>
      <c r="E965" s="307">
        <f t="shared" ref="E965:E1004" ca="1" si="444">IF(AND(L964&lt;L_rampe,Poussee&lt;Poids*SIN(M964)),0,(-W964+Poussee)/m*SIN(M964)+U964/m*COS(M964)-Poids/m)</f>
        <v>-2.4143871582880303</v>
      </c>
      <c r="F965" s="304">
        <f t="shared" ref="F965:F1004" ca="1" si="445">SQRT(acc_x^2+acc_z^2)</f>
        <v>2.5219318106112434</v>
      </c>
      <c r="G965" s="306">
        <f t="shared" ref="G965:G1004" ca="1" si="446">G964+acc_x*pas</f>
        <v>11.862459211750195</v>
      </c>
      <c r="H965" s="307">
        <f t="shared" ref="H965:H1004" ca="1" si="447">H964+acc_z*pas</f>
        <v>-120.40829897668858</v>
      </c>
      <c r="I965" s="304">
        <f t="shared" ref="I965:I1004" ca="1" si="448">SQRT(vit_x^2+vit_z^2)</f>
        <v>120.99122447934008</v>
      </c>
      <c r="J965" s="306">
        <f t="shared" ref="J965:J1004" ca="1" si="449">J964+0.5*(vit_x+G964)*pas*(K964&gt;=0)</f>
        <v>755.70453742140728</v>
      </c>
      <c r="K965" s="307">
        <f t="shared" ref="K965:K1004" ca="1" si="450">K964+0.5*(vit_z+H964)*pas</f>
        <v>-7.7361349396060008</v>
      </c>
      <c r="L965" s="304">
        <f t="shared" ca="1" si="435"/>
        <v>755.74413372722051</v>
      </c>
      <c r="M965" s="306">
        <f t="shared" ref="M965:M1004" ca="1" si="451">IF(AND(L964&gt;L_rampe,G965&gt;0),ATAN2(G965,H965),$M$4)</f>
        <v>-1.4725946032529267</v>
      </c>
      <c r="N965" s="304">
        <f t="shared" ref="N965:N1004" ca="1" si="452">DEGREES(Beta)</f>
        <v>-84.373455700134627</v>
      </c>
      <c r="P965" s="310">
        <f t="shared" ref="P965:P1004" ca="1" si="453">MATCH(t-pas/2-T_ini,CdP_t)</f>
        <v>23</v>
      </c>
      <c r="Q965" s="304">
        <f t="shared" ref="Q965:Q1004" ca="1" si="454">(INDEX(CdP,2,i_P+1)-INDEX(CdP,2,i_P+0))/(INDEX(CdP,1,i_P+1)-INDEX(CdP,1,i_P+0))*(t-pas/2-T_ini-INDEX(CdP,1,i_P+0))+INDEX(CdP,2,i_P+0)</f>
        <v>0</v>
      </c>
      <c r="R965" s="306">
        <f t="shared" ref="R965:R1004" ca="1" si="455">Poussee/(g*ISP)</f>
        <v>0</v>
      </c>
      <c r="S965" s="307">
        <f t="shared" ref="S965:S1004" ca="1" si="456">S964-Débit*pas</f>
        <v>7.9769999999999968</v>
      </c>
      <c r="T965" s="304">
        <f t="shared" ca="1" si="436"/>
        <v>78.254369999999966</v>
      </c>
      <c r="U965" s="311">
        <f t="shared" ca="1" si="437"/>
        <v>0</v>
      </c>
      <c r="V965" s="306">
        <f t="shared" ca="1" si="438"/>
        <v>1.2259480432396233</v>
      </c>
      <c r="W965" s="304">
        <f t="shared" ca="1" si="439"/>
        <v>59.280716126876712</v>
      </c>
      <c r="Y965" s="314" t="str">
        <f t="shared" ref="Y965:Y1003" ca="1" si="457">IF(AND(pos_z&lt;=0,K964&gt;0),"Impact balistique","") &amp; IF(AND(H966&lt;0,vit_z&gt;=0),"Apogée","") &amp; IF(AND(Poussee=0,Q964&gt;0),"Fin de propulsion","") &amp; IF(AND(L966&gt;L_rampe,pos_xz&lt;=L_rampe),"Sortie de rampe","")</f>
        <v/>
      </c>
      <c r="Z965" s="315" t="str">
        <f t="shared" ref="Z965:Z1004" ca="1" si="458">IF(ABS(t-T_para)&lt;pas/2,"Para","")</f>
        <v/>
      </c>
      <c r="AA965" s="316" t="str">
        <f t="shared" ref="AA965:AA1004" ca="1" si="459">IF(ABS(t-T_satellite)&lt;pas/2,"Satellite","")</f>
        <v/>
      </c>
      <c r="AC965" s="310" t="e">
        <f t="shared" ref="AC965:AC1004" ca="1" si="460">IF(ABS(t-ROUND(t,0))&lt;0.001,t,NA())</f>
        <v>#N/A</v>
      </c>
      <c r="AD965" s="323" t="e">
        <f t="shared" ref="AD965:AD1004" ca="1" si="461">IF(ABS(t-ROUND(t,0))&lt;0.001,pos_x,NA())</f>
        <v>#N/A</v>
      </c>
      <c r="AE965" s="324" t="e">
        <f t="shared" ca="1" si="440"/>
        <v>#N/A</v>
      </c>
      <c r="AG965" s="306">
        <f t="shared" ref="AG965:AG1004" ca="1" si="462">IF(AND(L964&lt;L_rampe,Poussee&lt;Poids*SIN(M964)),0,(-W964+Poussee)/m-Poids*SIN(M964)/m)</f>
        <v>2.3313181215564027</v>
      </c>
      <c r="AH965" s="304">
        <f t="shared" ref="AH965:AH1004" ca="1" si="463">IF(AND(L964&lt;L_rampe,Poussee&lt;Poids*SIN(M964)), g*SIN(M964), (-W964+Poussee)/m)</f>
        <v>-7.4314173622372843</v>
      </c>
    </row>
    <row r="966" spans="1:34" x14ac:dyDescent="0.2">
      <c r="A966" s="347">
        <f t="shared" ca="1" si="441"/>
        <v>1E-4</v>
      </c>
      <c r="B966" s="304">
        <f t="shared" ca="1" si="442"/>
        <v>33.644600000001688</v>
      </c>
      <c r="D966" s="306">
        <f t="shared" ca="1" si="443"/>
        <v>-0.7286092986817978</v>
      </c>
      <c r="E966" s="307">
        <f t="shared" ca="1" si="444"/>
        <v>-2.4143491735699296</v>
      </c>
      <c r="F966" s="304">
        <f t="shared" ca="1" si="445"/>
        <v>2.5218948118514741</v>
      </c>
      <c r="G966" s="306">
        <f t="shared" ca="1" si="446"/>
        <v>11.862386350820326</v>
      </c>
      <c r="H966" s="307">
        <f t="shared" ca="1" si="447"/>
        <v>-120.40854041160594</v>
      </c>
      <c r="I966" s="304">
        <f t="shared" ca="1" si="448"/>
        <v>120.99145760750827</v>
      </c>
      <c r="J966" s="306">
        <f t="shared" ca="1" si="449"/>
        <v>755.70453742140728</v>
      </c>
      <c r="K966" s="307">
        <f t="shared" ca="1" si="450"/>
        <v>-7.7481757815754158</v>
      </c>
      <c r="L966" s="304">
        <f t="shared" ca="1" si="435"/>
        <v>755.74425707857381</v>
      </c>
      <c r="M966" s="306">
        <f t="shared" ca="1" si="451"/>
        <v>-1.4725953981944062</v>
      </c>
      <c r="N966" s="304">
        <f t="shared" ca="1" si="452"/>
        <v>-84.373501246926367</v>
      </c>
      <c r="P966" s="310">
        <f t="shared" ca="1" si="453"/>
        <v>23</v>
      </c>
      <c r="Q966" s="304">
        <f t="shared" ca="1" si="454"/>
        <v>0</v>
      </c>
      <c r="R966" s="306">
        <f t="shared" ca="1" si="455"/>
        <v>0</v>
      </c>
      <c r="S966" s="307">
        <f t="shared" ca="1" si="456"/>
        <v>7.9769999999999968</v>
      </c>
      <c r="T966" s="304">
        <f t="shared" ca="1" si="436"/>
        <v>78.254369999999966</v>
      </c>
      <c r="U966" s="311">
        <f t="shared" ca="1" si="437"/>
        <v>0</v>
      </c>
      <c r="V966" s="306">
        <f t="shared" ca="1" si="438"/>
        <v>1.2259495193853984</v>
      </c>
      <c r="W966" s="304">
        <f t="shared" ca="1" si="439"/>
        <v>59.281015952797816</v>
      </c>
      <c r="Y966" s="314" t="str">
        <f t="shared" ca="1" si="457"/>
        <v/>
      </c>
      <c r="Z966" s="315" t="str">
        <f t="shared" ca="1" si="458"/>
        <v/>
      </c>
      <c r="AA966" s="316" t="str">
        <f t="shared" ca="1" si="459"/>
        <v/>
      </c>
      <c r="AC966" s="310" t="e">
        <f t="shared" ca="1" si="460"/>
        <v>#N/A</v>
      </c>
      <c r="AD966" s="323" t="e">
        <f t="shared" ca="1" si="461"/>
        <v>#N/A</v>
      </c>
      <c r="AE966" s="324" t="e">
        <f t="shared" ca="1" si="440"/>
        <v>#N/A</v>
      </c>
      <c r="AG966" s="306">
        <f t="shared" ca="1" si="462"/>
        <v>2.3312812995506</v>
      </c>
      <c r="AH966" s="304">
        <f t="shared" ca="1" si="463"/>
        <v>-7.4314549488374997</v>
      </c>
    </row>
    <row r="967" spans="1:34" x14ac:dyDescent="0.2">
      <c r="A967" s="347">
        <f t="shared" ca="1" si="441"/>
        <v>1E-4</v>
      </c>
      <c r="B967" s="304">
        <f t="shared" ca="1" si="442"/>
        <v>33.644700000001691</v>
      </c>
      <c r="D967" s="306">
        <f t="shared" ca="1" si="443"/>
        <v>-0.7286071046521263</v>
      </c>
      <c r="E967" s="307">
        <f t="shared" ca="1" si="444"/>
        <v>-2.4143111891544544</v>
      </c>
      <c r="F967" s="304">
        <f t="shared" ca="1" si="445"/>
        <v>2.5218578134038308</v>
      </c>
      <c r="G967" s="306">
        <f t="shared" ca="1" si="446"/>
        <v>11.862313490109861</v>
      </c>
      <c r="H967" s="307">
        <f t="shared" ca="1" si="447"/>
        <v>-120.40878184272485</v>
      </c>
      <c r="I967" s="304">
        <f t="shared" ca="1" si="448"/>
        <v>120.99169073199427</v>
      </c>
      <c r="J967" s="306">
        <f t="shared" ca="1" si="449"/>
        <v>755.70453742140728</v>
      </c>
      <c r="K967" s="307">
        <f t="shared" ca="1" si="450"/>
        <v>-7.7602166476881322</v>
      </c>
      <c r="L967" s="304">
        <f t="shared" ca="1" si="435"/>
        <v>755.74438062199454</v>
      </c>
      <c r="M967" s="306">
        <f t="shared" ca="1" si="451"/>
        <v>-1.4725961931279397</v>
      </c>
      <c r="N967" s="304">
        <f t="shared" ca="1" si="452"/>
        <v>-84.373546793262818</v>
      </c>
      <c r="P967" s="310">
        <f t="shared" ca="1" si="453"/>
        <v>23</v>
      </c>
      <c r="Q967" s="304">
        <f t="shared" ca="1" si="454"/>
        <v>0</v>
      </c>
      <c r="R967" s="306">
        <f t="shared" ca="1" si="455"/>
        <v>0</v>
      </c>
      <c r="S967" s="307">
        <f t="shared" ca="1" si="456"/>
        <v>7.9769999999999968</v>
      </c>
      <c r="T967" s="304">
        <f t="shared" ca="1" si="436"/>
        <v>78.254369999999966</v>
      </c>
      <c r="U967" s="311">
        <f t="shared" ca="1" si="437"/>
        <v>0</v>
      </c>
      <c r="V967" s="306">
        <f t="shared" ca="1" si="438"/>
        <v>1.2259509955359111</v>
      </c>
      <c r="W967" s="304">
        <f t="shared" ca="1" si="439"/>
        <v>59.281315776330068</v>
      </c>
      <c r="Y967" s="314" t="str">
        <f t="shared" ca="1" si="457"/>
        <v/>
      </c>
      <c r="Z967" s="315" t="str">
        <f t="shared" ca="1" si="458"/>
        <v/>
      </c>
      <c r="AA967" s="316" t="str">
        <f t="shared" ca="1" si="459"/>
        <v/>
      </c>
      <c r="AC967" s="310" t="e">
        <f t="shared" ca="1" si="460"/>
        <v>#N/A</v>
      </c>
      <c r="AD967" s="323" t="e">
        <f t="shared" ca="1" si="461"/>
        <v>#N/A</v>
      </c>
      <c r="AE967" s="324" t="e">
        <f t="shared" ca="1" si="440"/>
        <v>#N/A</v>
      </c>
      <c r="AG967" s="306">
        <f t="shared" ca="1" si="462"/>
        <v>2.3312444778304471</v>
      </c>
      <c r="AH967" s="304">
        <f t="shared" ca="1" si="463"/>
        <v>-7.4314925351382524</v>
      </c>
    </row>
    <row r="968" spans="1:34" x14ac:dyDescent="0.2">
      <c r="A968" s="347">
        <f t="shared" ca="1" si="441"/>
        <v>1E-4</v>
      </c>
      <c r="B968" s="304">
        <f t="shared" ca="1" si="442"/>
        <v>33.644800000001695</v>
      </c>
      <c r="D968" s="306">
        <f t="shared" ca="1" si="443"/>
        <v>-0.72860491059193111</v>
      </c>
      <c r="E968" s="307">
        <f t="shared" ca="1" si="444"/>
        <v>-2.4142732050416065</v>
      </c>
      <c r="F968" s="304">
        <f t="shared" ca="1" si="445"/>
        <v>2.5218208152683146</v>
      </c>
      <c r="G968" s="306">
        <f t="shared" ca="1" si="446"/>
        <v>11.862240629618801</v>
      </c>
      <c r="H968" s="307">
        <f t="shared" ca="1" si="447"/>
        <v>-120.40902327004535</v>
      </c>
      <c r="I968" s="304">
        <f t="shared" ca="1" si="448"/>
        <v>120.99192385279812</v>
      </c>
      <c r="J968" s="306">
        <f t="shared" ca="1" si="449"/>
        <v>755.70453742140728</v>
      </c>
      <c r="K968" s="307">
        <f t="shared" ca="1" si="450"/>
        <v>-7.7722575379437711</v>
      </c>
      <c r="L968" s="304">
        <f t="shared" ca="1" si="435"/>
        <v>755.74450435748406</v>
      </c>
      <c r="M968" s="306">
        <f t="shared" ca="1" si="451"/>
        <v>-1.4725969880535272</v>
      </c>
      <c r="N968" s="304">
        <f t="shared" ca="1" si="452"/>
        <v>-84.373592339144025</v>
      </c>
      <c r="P968" s="310">
        <f t="shared" ca="1" si="453"/>
        <v>23</v>
      </c>
      <c r="Q968" s="304">
        <f t="shared" ca="1" si="454"/>
        <v>0</v>
      </c>
      <c r="R968" s="306">
        <f t="shared" ca="1" si="455"/>
        <v>0</v>
      </c>
      <c r="S968" s="307">
        <f t="shared" ca="1" si="456"/>
        <v>7.9769999999999968</v>
      </c>
      <c r="T968" s="304">
        <f t="shared" ca="1" si="436"/>
        <v>78.254369999999966</v>
      </c>
      <c r="U968" s="311">
        <f t="shared" ca="1" si="437"/>
        <v>0</v>
      </c>
      <c r="V968" s="306">
        <f t="shared" ca="1" si="438"/>
        <v>1.2259524716911625</v>
      </c>
      <c r="W968" s="304">
        <f t="shared" ca="1" si="439"/>
        <v>59.281615597473518</v>
      </c>
      <c r="Y968" s="314" t="str">
        <f t="shared" ca="1" si="457"/>
        <v/>
      </c>
      <c r="Z968" s="315" t="str">
        <f t="shared" ca="1" si="458"/>
        <v/>
      </c>
      <c r="AA968" s="316" t="str">
        <f t="shared" ca="1" si="459"/>
        <v/>
      </c>
      <c r="AC968" s="310" t="e">
        <f t="shared" ca="1" si="460"/>
        <v>#N/A</v>
      </c>
      <c r="AD968" s="323" t="e">
        <f t="shared" ca="1" si="461"/>
        <v>#N/A</v>
      </c>
      <c r="AE968" s="324" t="e">
        <f t="shared" ca="1" si="440"/>
        <v>#N/A</v>
      </c>
      <c r="AG968" s="306">
        <f t="shared" ca="1" si="462"/>
        <v>2.3312076563959483</v>
      </c>
      <c r="AH968" s="304">
        <f t="shared" ca="1" si="463"/>
        <v>-7.4315301211395379</v>
      </c>
    </row>
    <row r="969" spans="1:34" x14ac:dyDescent="0.2">
      <c r="A969" s="347">
        <f t="shared" ca="1" si="441"/>
        <v>1E-4</v>
      </c>
      <c r="B969" s="304">
        <f t="shared" ca="1" si="442"/>
        <v>33.644900000001698</v>
      </c>
      <c r="D969" s="306">
        <f t="shared" ca="1" si="443"/>
        <v>-0.72860271650121278</v>
      </c>
      <c r="E969" s="307">
        <f t="shared" ca="1" si="444"/>
        <v>-2.4142352212313822</v>
      </c>
      <c r="F969" s="304">
        <f t="shared" ca="1" si="445"/>
        <v>2.5217838174449225</v>
      </c>
      <c r="G969" s="306">
        <f t="shared" ca="1" si="446"/>
        <v>11.862167769347151</v>
      </c>
      <c r="H969" s="307">
        <f t="shared" ca="1" si="447"/>
        <v>-120.40926469356748</v>
      </c>
      <c r="I969" s="304">
        <f t="shared" ca="1" si="448"/>
        <v>120.99215696991989</v>
      </c>
      <c r="J969" s="306">
        <f t="shared" ca="1" si="449"/>
        <v>755.70453742140728</v>
      </c>
      <c r="K969" s="307">
        <f t="shared" ca="1" si="450"/>
        <v>-7.7842984523419521</v>
      </c>
      <c r="L969" s="304">
        <f t="shared" ca="1" si="435"/>
        <v>755.74462828504329</v>
      </c>
      <c r="M969" s="306">
        <f t="shared" ca="1" si="451"/>
        <v>-1.4725977829711689</v>
      </c>
      <c r="N969" s="304">
        <f t="shared" ca="1" si="452"/>
        <v>-84.373637884569945</v>
      </c>
      <c r="P969" s="310">
        <f t="shared" ca="1" si="453"/>
        <v>23</v>
      </c>
      <c r="Q969" s="304">
        <f t="shared" ca="1" si="454"/>
        <v>0</v>
      </c>
      <c r="R969" s="306">
        <f t="shared" ca="1" si="455"/>
        <v>0</v>
      </c>
      <c r="S969" s="307">
        <f t="shared" ca="1" si="456"/>
        <v>7.9769999999999968</v>
      </c>
      <c r="T969" s="304">
        <f t="shared" ca="1" si="436"/>
        <v>78.254369999999966</v>
      </c>
      <c r="U969" s="311">
        <f t="shared" ca="1" si="437"/>
        <v>0</v>
      </c>
      <c r="V969" s="306">
        <f t="shared" ca="1" si="438"/>
        <v>1.225953947851151</v>
      </c>
      <c r="W969" s="304">
        <f t="shared" ca="1" si="439"/>
        <v>59.281915416228109</v>
      </c>
      <c r="Y969" s="314" t="str">
        <f t="shared" ca="1" si="457"/>
        <v/>
      </c>
      <c r="Z969" s="315" t="str">
        <f t="shared" ca="1" si="458"/>
        <v/>
      </c>
      <c r="AA969" s="316" t="str">
        <f t="shared" ca="1" si="459"/>
        <v/>
      </c>
      <c r="AC969" s="310" t="e">
        <f t="shared" ca="1" si="460"/>
        <v>#N/A</v>
      </c>
      <c r="AD969" s="323" t="e">
        <f t="shared" ca="1" si="461"/>
        <v>#N/A</v>
      </c>
      <c r="AE969" s="324" t="e">
        <f t="shared" ca="1" si="440"/>
        <v>#N/A</v>
      </c>
      <c r="AG969" s="306">
        <f t="shared" ca="1" si="462"/>
        <v>2.3311708352471019</v>
      </c>
      <c r="AH969" s="304">
        <f t="shared" ca="1" si="463"/>
        <v>-7.4315677068413617</v>
      </c>
    </row>
    <row r="970" spans="1:34" x14ac:dyDescent="0.2">
      <c r="A970" s="347">
        <f t="shared" ca="1" si="441"/>
        <v>1E-4</v>
      </c>
      <c r="B970" s="304">
        <f t="shared" ca="1" si="442"/>
        <v>33.645000000001701</v>
      </c>
      <c r="D970" s="306">
        <f t="shared" ca="1" si="443"/>
        <v>-0.72860052237997219</v>
      </c>
      <c r="E970" s="307">
        <f t="shared" ca="1" si="444"/>
        <v>-2.4141972377237879</v>
      </c>
      <c r="F970" s="304">
        <f t="shared" ca="1" si="445"/>
        <v>2.5217468199336617</v>
      </c>
      <c r="G970" s="306">
        <f t="shared" ca="1" si="446"/>
        <v>11.862094909294912</v>
      </c>
      <c r="H970" s="307">
        <f t="shared" ca="1" si="447"/>
        <v>-120.40950611329126</v>
      </c>
      <c r="I970" s="304">
        <f t="shared" ca="1" si="448"/>
        <v>120.99239008335955</v>
      </c>
      <c r="J970" s="306">
        <f t="shared" ca="1" si="449"/>
        <v>755.70453742140728</v>
      </c>
      <c r="K970" s="307">
        <f t="shared" ca="1" si="450"/>
        <v>-7.7963393908822951</v>
      </c>
      <c r="L970" s="304">
        <f t="shared" ca="1" si="435"/>
        <v>755.74475240467336</v>
      </c>
      <c r="M970" s="306">
        <f t="shared" ca="1" si="451"/>
        <v>-1.4725985778808652</v>
      </c>
      <c r="N970" s="304">
        <f t="shared" ca="1" si="452"/>
        <v>-84.373683429540648</v>
      </c>
      <c r="P970" s="310">
        <f t="shared" ca="1" si="453"/>
        <v>23</v>
      </c>
      <c r="Q970" s="304">
        <f t="shared" ca="1" si="454"/>
        <v>0</v>
      </c>
      <c r="R970" s="306">
        <f t="shared" ca="1" si="455"/>
        <v>0</v>
      </c>
      <c r="S970" s="307">
        <f t="shared" ca="1" si="456"/>
        <v>7.9769999999999968</v>
      </c>
      <c r="T970" s="304">
        <f t="shared" ca="1" si="436"/>
        <v>78.254369999999966</v>
      </c>
      <c r="U970" s="311">
        <f t="shared" ca="1" si="437"/>
        <v>0</v>
      </c>
      <c r="V970" s="306">
        <f t="shared" ca="1" si="438"/>
        <v>1.2259554240158776</v>
      </c>
      <c r="W970" s="304">
        <f t="shared" ca="1" si="439"/>
        <v>59.282215232593877</v>
      </c>
      <c r="Y970" s="314" t="str">
        <f t="shared" ca="1" si="457"/>
        <v/>
      </c>
      <c r="Z970" s="315" t="str">
        <f t="shared" ca="1" si="458"/>
        <v/>
      </c>
      <c r="AA970" s="316" t="str">
        <f t="shared" ca="1" si="459"/>
        <v/>
      </c>
      <c r="AC970" s="310" t="e">
        <f t="shared" ca="1" si="460"/>
        <v>#N/A</v>
      </c>
      <c r="AD970" s="323" t="e">
        <f t="shared" ca="1" si="461"/>
        <v>#N/A</v>
      </c>
      <c r="AE970" s="324" t="e">
        <f t="shared" ca="1" si="440"/>
        <v>#N/A</v>
      </c>
      <c r="AG970" s="306">
        <f t="shared" ca="1" si="462"/>
        <v>2.3311340143839105</v>
      </c>
      <c r="AH970" s="304">
        <f t="shared" ca="1" si="463"/>
        <v>-7.4316052922437175</v>
      </c>
    </row>
    <row r="971" spans="1:34" x14ac:dyDescent="0.2">
      <c r="A971" s="347">
        <f t="shared" ca="1" si="441"/>
        <v>1E-4</v>
      </c>
      <c r="B971" s="304">
        <f t="shared" ca="1" si="442"/>
        <v>33.645100000001705</v>
      </c>
      <c r="D971" s="306">
        <f t="shared" ca="1" si="443"/>
        <v>-0.72859832822820791</v>
      </c>
      <c r="E971" s="307">
        <f t="shared" ca="1" si="444"/>
        <v>-2.4141592545188182</v>
      </c>
      <c r="F971" s="304">
        <f t="shared" ca="1" si="445"/>
        <v>2.5217098227345258</v>
      </c>
      <c r="G971" s="306">
        <f t="shared" ca="1" si="446"/>
        <v>11.862022049462089</v>
      </c>
      <c r="H971" s="307">
        <f t="shared" ca="1" si="447"/>
        <v>-120.40974752921672</v>
      </c>
      <c r="I971" s="304">
        <f t="shared" ca="1" si="448"/>
        <v>120.99262319311717</v>
      </c>
      <c r="J971" s="306">
        <f t="shared" ca="1" si="449"/>
        <v>755.70453742140728</v>
      </c>
      <c r="K971" s="307">
        <f t="shared" ca="1" si="450"/>
        <v>-7.8083803535644201</v>
      </c>
      <c r="L971" s="304">
        <f t="shared" ca="1" si="435"/>
        <v>755.74487671637519</v>
      </c>
      <c r="M971" s="306">
        <f t="shared" ca="1" si="451"/>
        <v>-1.4725993727826159</v>
      </c>
      <c r="N971" s="304">
        <f t="shared" ca="1" si="452"/>
        <v>-84.373728974056078</v>
      </c>
      <c r="P971" s="310">
        <f t="shared" ca="1" si="453"/>
        <v>23</v>
      </c>
      <c r="Q971" s="304">
        <f t="shared" ca="1" si="454"/>
        <v>0</v>
      </c>
      <c r="R971" s="306">
        <f t="shared" ca="1" si="455"/>
        <v>0</v>
      </c>
      <c r="S971" s="307">
        <f t="shared" ca="1" si="456"/>
        <v>7.9769999999999968</v>
      </c>
      <c r="T971" s="304">
        <f t="shared" ca="1" si="436"/>
        <v>78.254369999999966</v>
      </c>
      <c r="U971" s="311">
        <f t="shared" ca="1" si="437"/>
        <v>0</v>
      </c>
      <c r="V971" s="306">
        <f t="shared" ca="1" si="438"/>
        <v>1.2259569001853419</v>
      </c>
      <c r="W971" s="304">
        <f t="shared" ca="1" si="439"/>
        <v>59.282515046570801</v>
      </c>
      <c r="Y971" s="314" t="str">
        <f t="shared" ca="1" si="457"/>
        <v/>
      </c>
      <c r="Z971" s="315" t="str">
        <f t="shared" ca="1" si="458"/>
        <v/>
      </c>
      <c r="AA971" s="316" t="str">
        <f t="shared" ca="1" si="459"/>
        <v/>
      </c>
      <c r="AC971" s="310" t="e">
        <f t="shared" ca="1" si="460"/>
        <v>#N/A</v>
      </c>
      <c r="AD971" s="323" t="e">
        <f t="shared" ca="1" si="461"/>
        <v>#N/A</v>
      </c>
      <c r="AE971" s="324" t="e">
        <f t="shared" ca="1" si="440"/>
        <v>#N/A</v>
      </c>
      <c r="AG971" s="306">
        <f t="shared" ca="1" si="462"/>
        <v>2.3310971938063743</v>
      </c>
      <c r="AH971" s="304">
        <f t="shared" ca="1" si="463"/>
        <v>-7.4316428773466088</v>
      </c>
    </row>
    <row r="972" spans="1:34" x14ac:dyDescent="0.2">
      <c r="A972" s="347">
        <f t="shared" ca="1" si="441"/>
        <v>1E-4</v>
      </c>
      <c r="B972" s="304">
        <f t="shared" ca="1" si="442"/>
        <v>33.645200000001708</v>
      </c>
      <c r="D972" s="306">
        <f t="shared" ca="1" si="443"/>
        <v>-0.72859613404592349</v>
      </c>
      <c r="E972" s="307">
        <f t="shared" ca="1" si="444"/>
        <v>-2.4141212716164766</v>
      </c>
      <c r="F972" s="304">
        <f t="shared" ca="1" si="445"/>
        <v>2.5216728258475207</v>
      </c>
      <c r="G972" s="306">
        <f t="shared" ca="1" si="446"/>
        <v>11.861949189848685</v>
      </c>
      <c r="H972" s="307">
        <f t="shared" ca="1" si="447"/>
        <v>-120.40998894134388</v>
      </c>
      <c r="I972" s="304">
        <f t="shared" ca="1" si="448"/>
        <v>120.99285629919275</v>
      </c>
      <c r="J972" s="306">
        <f t="shared" ca="1" si="449"/>
        <v>755.70453742140728</v>
      </c>
      <c r="K972" s="307">
        <f t="shared" ca="1" si="450"/>
        <v>-7.8204213403879477</v>
      </c>
      <c r="L972" s="304">
        <f t="shared" ca="1" si="435"/>
        <v>755.7450012201499</v>
      </c>
      <c r="M972" s="306">
        <f t="shared" ca="1" si="451"/>
        <v>-1.4726001676764211</v>
      </c>
      <c r="N972" s="304">
        <f t="shared" ca="1" si="452"/>
        <v>-84.373774518116278</v>
      </c>
      <c r="P972" s="310">
        <f t="shared" ca="1" si="453"/>
        <v>23</v>
      </c>
      <c r="Q972" s="304">
        <f t="shared" ca="1" si="454"/>
        <v>0</v>
      </c>
      <c r="R972" s="306">
        <f t="shared" ca="1" si="455"/>
        <v>0</v>
      </c>
      <c r="S972" s="307">
        <f t="shared" ca="1" si="456"/>
        <v>7.9769999999999968</v>
      </c>
      <c r="T972" s="304">
        <f t="shared" ca="1" si="436"/>
        <v>78.254369999999966</v>
      </c>
      <c r="U972" s="311">
        <f t="shared" ca="1" si="437"/>
        <v>0</v>
      </c>
      <c r="V972" s="306">
        <f t="shared" ca="1" si="438"/>
        <v>1.2259583763595443</v>
      </c>
      <c r="W972" s="304">
        <f t="shared" ca="1" si="439"/>
        <v>59.282814858158879</v>
      </c>
      <c r="Y972" s="314" t="str">
        <f t="shared" ca="1" si="457"/>
        <v/>
      </c>
      <c r="Z972" s="315" t="str">
        <f t="shared" ca="1" si="458"/>
        <v/>
      </c>
      <c r="AA972" s="316" t="str">
        <f t="shared" ca="1" si="459"/>
        <v/>
      </c>
      <c r="AC972" s="310" t="e">
        <f t="shared" ca="1" si="460"/>
        <v>#N/A</v>
      </c>
      <c r="AD972" s="323" t="e">
        <f t="shared" ca="1" si="461"/>
        <v>#N/A</v>
      </c>
      <c r="AE972" s="324" t="e">
        <f t="shared" ca="1" si="440"/>
        <v>#N/A</v>
      </c>
      <c r="AG972" s="306">
        <f t="shared" ca="1" si="462"/>
        <v>2.3310603735144921</v>
      </c>
      <c r="AH972" s="304">
        <f t="shared" ca="1" si="463"/>
        <v>-7.4316804621500347</v>
      </c>
    </row>
    <row r="973" spans="1:34" x14ac:dyDescent="0.2">
      <c r="A973" s="347">
        <f t="shared" ca="1" si="441"/>
        <v>1E-4</v>
      </c>
      <c r="B973" s="304">
        <f t="shared" ca="1" si="442"/>
        <v>33.645300000001711</v>
      </c>
      <c r="D973" s="306">
        <f t="shared" ca="1" si="443"/>
        <v>-0.72859393983311826</v>
      </c>
      <c r="E973" s="307">
        <f t="shared" ca="1" si="444"/>
        <v>-2.4140832890167641</v>
      </c>
      <c r="F973" s="304">
        <f t="shared" ca="1" si="445"/>
        <v>2.5216358292726455</v>
      </c>
      <c r="G973" s="306">
        <f t="shared" ca="1" si="446"/>
        <v>11.861876330454702</v>
      </c>
      <c r="H973" s="307">
        <f t="shared" ca="1" si="447"/>
        <v>-120.41023034967279</v>
      </c>
      <c r="I973" s="304">
        <f t="shared" ca="1" si="448"/>
        <v>120.99308940158633</v>
      </c>
      <c r="J973" s="306">
        <f t="shared" ca="1" si="449"/>
        <v>755.70453742140728</v>
      </c>
      <c r="K973" s="307">
        <f t="shared" ca="1" si="450"/>
        <v>-7.8324623513524987</v>
      </c>
      <c r="L973" s="304">
        <f t="shared" ca="1" si="435"/>
        <v>755.74512591599853</v>
      </c>
      <c r="M973" s="306">
        <f t="shared" ca="1" si="451"/>
        <v>-1.4726009625622811</v>
      </c>
      <c r="N973" s="304">
        <f t="shared" ca="1" si="452"/>
        <v>-84.373820061721261</v>
      </c>
      <c r="P973" s="310">
        <f t="shared" ca="1" si="453"/>
        <v>23</v>
      </c>
      <c r="Q973" s="304">
        <f t="shared" ca="1" si="454"/>
        <v>0</v>
      </c>
      <c r="R973" s="306">
        <f t="shared" ca="1" si="455"/>
        <v>0</v>
      </c>
      <c r="S973" s="307">
        <f t="shared" ca="1" si="456"/>
        <v>7.9769999999999968</v>
      </c>
      <c r="T973" s="304">
        <f t="shared" ca="1" si="436"/>
        <v>78.254369999999966</v>
      </c>
      <c r="U973" s="311">
        <f t="shared" ca="1" si="437"/>
        <v>0</v>
      </c>
      <c r="V973" s="306">
        <f t="shared" ca="1" si="438"/>
        <v>1.2259598525384841</v>
      </c>
      <c r="W973" s="304">
        <f t="shared" ca="1" si="439"/>
        <v>59.283114667358099</v>
      </c>
      <c r="Y973" s="314" t="str">
        <f t="shared" ca="1" si="457"/>
        <v/>
      </c>
      <c r="Z973" s="315" t="str">
        <f t="shared" ca="1" si="458"/>
        <v/>
      </c>
      <c r="AA973" s="316" t="str">
        <f t="shared" ca="1" si="459"/>
        <v/>
      </c>
      <c r="AC973" s="310" t="e">
        <f t="shared" ca="1" si="460"/>
        <v>#N/A</v>
      </c>
      <c r="AD973" s="323" t="e">
        <f t="shared" ca="1" si="461"/>
        <v>#N/A</v>
      </c>
      <c r="AE973" s="324" t="e">
        <f t="shared" ca="1" si="440"/>
        <v>#N/A</v>
      </c>
      <c r="AG973" s="306">
        <f t="shared" ca="1" si="462"/>
        <v>2.3310235535082686</v>
      </c>
      <c r="AH973" s="304">
        <f t="shared" ca="1" si="463"/>
        <v>-7.4317180466539927</v>
      </c>
    </row>
    <row r="974" spans="1:34" x14ac:dyDescent="0.2">
      <c r="A974" s="347">
        <f t="shared" ca="1" si="441"/>
        <v>1E-4</v>
      </c>
      <c r="B974" s="304">
        <f t="shared" ca="1" si="442"/>
        <v>33.645400000001715</v>
      </c>
      <c r="D974" s="306">
        <f t="shared" ca="1" si="443"/>
        <v>-0.72859174558979245</v>
      </c>
      <c r="E974" s="307">
        <f t="shared" ca="1" si="444"/>
        <v>-2.4140453067196805</v>
      </c>
      <c r="F974" s="304">
        <f t="shared" ca="1" si="445"/>
        <v>2.5215988330099015</v>
      </c>
      <c r="G974" s="306">
        <f t="shared" ca="1" si="446"/>
        <v>11.861803471280144</v>
      </c>
      <c r="H974" s="307">
        <f t="shared" ca="1" si="447"/>
        <v>-120.41047175420346</v>
      </c>
      <c r="I974" s="304">
        <f t="shared" ca="1" si="448"/>
        <v>120.99332250029794</v>
      </c>
      <c r="J974" s="306">
        <f t="shared" ca="1" si="449"/>
        <v>755.70453742140728</v>
      </c>
      <c r="K974" s="307">
        <f t="shared" ca="1" si="450"/>
        <v>-7.8445033864576921</v>
      </c>
      <c r="L974" s="304">
        <f t="shared" ca="1" si="435"/>
        <v>755.7452508039222</v>
      </c>
      <c r="M974" s="306">
        <f t="shared" ca="1" si="451"/>
        <v>-1.4726017574401957</v>
      </c>
      <c r="N974" s="304">
        <f t="shared" ca="1" si="452"/>
        <v>-84.373865604870986</v>
      </c>
      <c r="P974" s="310">
        <f t="shared" ca="1" si="453"/>
        <v>23</v>
      </c>
      <c r="Q974" s="304">
        <f t="shared" ca="1" si="454"/>
        <v>0</v>
      </c>
      <c r="R974" s="306">
        <f t="shared" ca="1" si="455"/>
        <v>0</v>
      </c>
      <c r="S974" s="307">
        <f t="shared" ca="1" si="456"/>
        <v>7.9769999999999968</v>
      </c>
      <c r="T974" s="304">
        <f t="shared" ca="1" si="436"/>
        <v>78.254369999999966</v>
      </c>
      <c r="U974" s="311">
        <f t="shared" ca="1" si="437"/>
        <v>0</v>
      </c>
      <c r="V974" s="306">
        <f t="shared" ca="1" si="438"/>
        <v>1.2259613287221622</v>
      </c>
      <c r="W974" s="304">
        <f t="shared" ca="1" si="439"/>
        <v>59.283414474168488</v>
      </c>
      <c r="Y974" s="314" t="str">
        <f t="shared" ca="1" si="457"/>
        <v/>
      </c>
      <c r="Z974" s="315" t="str">
        <f t="shared" ca="1" si="458"/>
        <v/>
      </c>
      <c r="AA974" s="316" t="str">
        <f t="shared" ca="1" si="459"/>
        <v/>
      </c>
      <c r="AC974" s="310" t="e">
        <f t="shared" ca="1" si="460"/>
        <v>#N/A</v>
      </c>
      <c r="AD974" s="323" t="e">
        <f t="shared" ca="1" si="461"/>
        <v>#N/A</v>
      </c>
      <c r="AE974" s="324" t="e">
        <f t="shared" ca="1" si="440"/>
        <v>#N/A</v>
      </c>
      <c r="AG974" s="306">
        <f t="shared" ca="1" si="462"/>
        <v>2.330986733787701</v>
      </c>
      <c r="AH974" s="304">
        <f t="shared" ca="1" si="463"/>
        <v>-7.4317556308584836</v>
      </c>
    </row>
    <row r="975" spans="1:34" x14ac:dyDescent="0.2">
      <c r="A975" s="347">
        <f t="shared" ca="1" si="441"/>
        <v>1E-4</v>
      </c>
      <c r="B975" s="304">
        <f t="shared" ca="1" si="442"/>
        <v>33.645500000001718</v>
      </c>
      <c r="D975" s="306">
        <f t="shared" ca="1" si="443"/>
        <v>-0.72858955131594938</v>
      </c>
      <c r="E975" s="307">
        <f t="shared" ca="1" si="444"/>
        <v>-2.4140073247252234</v>
      </c>
      <c r="F975" s="304">
        <f t="shared" ca="1" si="445"/>
        <v>2.5215618370592869</v>
      </c>
      <c r="G975" s="306">
        <f t="shared" ca="1" si="446"/>
        <v>11.861730612325012</v>
      </c>
      <c r="H975" s="307">
        <f t="shared" ca="1" si="447"/>
        <v>-120.41071315493593</v>
      </c>
      <c r="I975" s="304">
        <f t="shared" ca="1" si="448"/>
        <v>120.99355559532759</v>
      </c>
      <c r="J975" s="306">
        <f t="shared" ca="1" si="449"/>
        <v>755.70453742140728</v>
      </c>
      <c r="K975" s="307">
        <f t="shared" ca="1" si="450"/>
        <v>-7.8565444457031495</v>
      </c>
      <c r="L975" s="304">
        <f t="shared" ca="1" si="435"/>
        <v>755.74537588392195</v>
      </c>
      <c r="M975" s="306">
        <f t="shared" ca="1" si="451"/>
        <v>-1.4726025523101653</v>
      </c>
      <c r="N975" s="304">
        <f t="shared" ca="1" si="452"/>
        <v>-84.373911147565508</v>
      </c>
      <c r="P975" s="310">
        <f t="shared" ca="1" si="453"/>
        <v>23</v>
      </c>
      <c r="Q975" s="304">
        <f t="shared" ca="1" si="454"/>
        <v>0</v>
      </c>
      <c r="R975" s="306">
        <f t="shared" ca="1" si="455"/>
        <v>0</v>
      </c>
      <c r="S975" s="307">
        <f t="shared" ca="1" si="456"/>
        <v>7.9769999999999968</v>
      </c>
      <c r="T975" s="304">
        <f t="shared" ca="1" si="436"/>
        <v>78.254369999999966</v>
      </c>
      <c r="U975" s="311">
        <f t="shared" ca="1" si="437"/>
        <v>0</v>
      </c>
      <c r="V975" s="306">
        <f t="shared" ca="1" si="438"/>
        <v>1.2259628049105771</v>
      </c>
      <c r="W975" s="304">
        <f t="shared" ca="1" si="439"/>
        <v>59.283714278589983</v>
      </c>
      <c r="Y975" s="314" t="str">
        <f t="shared" ca="1" si="457"/>
        <v/>
      </c>
      <c r="Z975" s="315" t="str">
        <f t="shared" ca="1" si="458"/>
        <v/>
      </c>
      <c r="AA975" s="316" t="str">
        <f t="shared" ca="1" si="459"/>
        <v/>
      </c>
      <c r="AC975" s="310" t="e">
        <f t="shared" ca="1" si="460"/>
        <v>#N/A</v>
      </c>
      <c r="AD975" s="323" t="e">
        <f t="shared" ca="1" si="461"/>
        <v>#N/A</v>
      </c>
      <c r="AE975" s="324" t="e">
        <f t="shared" ca="1" si="440"/>
        <v>#N/A</v>
      </c>
      <c r="AG975" s="306">
        <f t="shared" ca="1" si="462"/>
        <v>2.3309499143527876</v>
      </c>
      <c r="AH975" s="304">
        <f t="shared" ca="1" si="463"/>
        <v>-7.4317932147635091</v>
      </c>
    </row>
    <row r="976" spans="1:34" x14ac:dyDescent="0.2">
      <c r="A976" s="347">
        <f t="shared" ca="1" si="441"/>
        <v>1E-4</v>
      </c>
      <c r="B976" s="304">
        <f t="shared" ca="1" si="442"/>
        <v>33.645600000001721</v>
      </c>
      <c r="D976" s="306">
        <f t="shared" ca="1" si="443"/>
        <v>-0.72858735701158683</v>
      </c>
      <c r="E976" s="307">
        <f t="shared" ca="1" si="444"/>
        <v>-2.4139693430334006</v>
      </c>
      <c r="F976" s="304">
        <f t="shared" ca="1" si="445"/>
        <v>2.5215248414208093</v>
      </c>
      <c r="G976" s="306">
        <f t="shared" ca="1" si="446"/>
        <v>11.861657753589311</v>
      </c>
      <c r="H976" s="307">
        <f t="shared" ca="1" si="447"/>
        <v>-120.41095455187023</v>
      </c>
      <c r="I976" s="304">
        <f t="shared" ca="1" si="448"/>
        <v>120.99378868667533</v>
      </c>
      <c r="J976" s="306">
        <f t="shared" ca="1" si="449"/>
        <v>755.70453742140728</v>
      </c>
      <c r="K976" s="307">
        <f t="shared" ca="1" si="450"/>
        <v>-7.8685855290884898</v>
      </c>
      <c r="L976" s="304">
        <f t="shared" ca="1" si="435"/>
        <v>755.7455011559988</v>
      </c>
      <c r="M976" s="306">
        <f t="shared" ca="1" si="451"/>
        <v>-1.4726033471721902</v>
      </c>
      <c r="N976" s="304">
        <f t="shared" ca="1" si="452"/>
        <v>-84.373956689804828</v>
      </c>
      <c r="P976" s="310">
        <f t="shared" ca="1" si="453"/>
        <v>23</v>
      </c>
      <c r="Q976" s="304">
        <f t="shared" ca="1" si="454"/>
        <v>0</v>
      </c>
      <c r="R976" s="306">
        <f t="shared" ca="1" si="455"/>
        <v>0</v>
      </c>
      <c r="S976" s="307">
        <f t="shared" ca="1" si="456"/>
        <v>7.9769999999999968</v>
      </c>
      <c r="T976" s="304">
        <f t="shared" ca="1" si="436"/>
        <v>78.254369999999966</v>
      </c>
      <c r="U976" s="311">
        <f t="shared" ca="1" si="437"/>
        <v>0</v>
      </c>
      <c r="V976" s="306">
        <f t="shared" ca="1" si="438"/>
        <v>1.2259642811037306</v>
      </c>
      <c r="W976" s="304">
        <f t="shared" ca="1" si="439"/>
        <v>59.284014080622669</v>
      </c>
      <c r="Y976" s="314" t="str">
        <f t="shared" ca="1" si="457"/>
        <v/>
      </c>
      <c r="Z976" s="315" t="str">
        <f t="shared" ca="1" si="458"/>
        <v/>
      </c>
      <c r="AA976" s="316" t="str">
        <f t="shared" ca="1" si="459"/>
        <v/>
      </c>
      <c r="AC976" s="310" t="e">
        <f t="shared" ca="1" si="460"/>
        <v>#N/A</v>
      </c>
      <c r="AD976" s="323" t="e">
        <f t="shared" ca="1" si="461"/>
        <v>#N/A</v>
      </c>
      <c r="AE976" s="324" t="e">
        <f t="shared" ca="1" si="440"/>
        <v>#N/A</v>
      </c>
      <c r="AG976" s="306">
        <f t="shared" ca="1" si="462"/>
        <v>2.3309130952035373</v>
      </c>
      <c r="AH976" s="304">
        <f t="shared" ca="1" si="463"/>
        <v>-7.4318307983690621</v>
      </c>
    </row>
    <row r="977" spans="1:34" x14ac:dyDescent="0.2">
      <c r="A977" s="347">
        <f t="shared" ca="1" si="441"/>
        <v>1E-4</v>
      </c>
      <c r="B977" s="304">
        <f t="shared" ca="1" si="442"/>
        <v>33.645700000001725</v>
      </c>
      <c r="D977" s="306">
        <f t="shared" ca="1" si="443"/>
        <v>-0.7285851626767057</v>
      </c>
      <c r="E977" s="307">
        <f t="shared" ca="1" si="444"/>
        <v>-2.4139313616442015</v>
      </c>
      <c r="F977" s="304">
        <f t="shared" ca="1" si="445"/>
        <v>2.5214878460944581</v>
      </c>
      <c r="G977" s="306">
        <f t="shared" ca="1" si="446"/>
        <v>11.861584895073044</v>
      </c>
      <c r="H977" s="307">
        <f t="shared" ca="1" si="447"/>
        <v>-120.4111959450064</v>
      </c>
      <c r="I977" s="304">
        <f t="shared" ca="1" si="448"/>
        <v>120.99402177434119</v>
      </c>
      <c r="J977" s="306">
        <f t="shared" ca="1" si="449"/>
        <v>755.70453742140728</v>
      </c>
      <c r="K977" s="307">
        <f t="shared" ca="1" si="450"/>
        <v>-7.880626636613334</v>
      </c>
      <c r="L977" s="304">
        <f t="shared" ca="1" si="435"/>
        <v>755.74562662015376</v>
      </c>
      <c r="M977" s="306">
        <f t="shared" ca="1" si="451"/>
        <v>-1.4726041420262701</v>
      </c>
      <c r="N977" s="304">
        <f t="shared" ca="1" si="452"/>
        <v>-84.374002231588932</v>
      </c>
      <c r="P977" s="310">
        <f t="shared" ca="1" si="453"/>
        <v>23</v>
      </c>
      <c r="Q977" s="304">
        <f t="shared" ca="1" si="454"/>
        <v>0</v>
      </c>
      <c r="R977" s="306">
        <f t="shared" ca="1" si="455"/>
        <v>0</v>
      </c>
      <c r="S977" s="307">
        <f t="shared" ca="1" si="456"/>
        <v>7.9769999999999968</v>
      </c>
      <c r="T977" s="304">
        <f t="shared" ca="1" si="436"/>
        <v>78.254369999999966</v>
      </c>
      <c r="U977" s="311">
        <f t="shared" ca="1" si="437"/>
        <v>0</v>
      </c>
      <c r="V977" s="306">
        <f t="shared" ca="1" si="438"/>
        <v>1.2259657573016207</v>
      </c>
      <c r="W977" s="304">
        <f t="shared" ca="1" si="439"/>
        <v>59.284313880266453</v>
      </c>
      <c r="Y977" s="314" t="str">
        <f t="shared" ca="1" si="457"/>
        <v/>
      </c>
      <c r="Z977" s="315" t="str">
        <f t="shared" ca="1" si="458"/>
        <v/>
      </c>
      <c r="AA977" s="316" t="str">
        <f t="shared" ca="1" si="459"/>
        <v/>
      </c>
      <c r="AC977" s="310" t="e">
        <f t="shared" ca="1" si="460"/>
        <v>#N/A</v>
      </c>
      <c r="AD977" s="323" t="e">
        <f t="shared" ca="1" si="461"/>
        <v>#N/A</v>
      </c>
      <c r="AE977" s="324" t="e">
        <f t="shared" ca="1" si="440"/>
        <v>#N/A</v>
      </c>
      <c r="AG977" s="306">
        <f t="shared" ca="1" si="462"/>
        <v>2.3308762763399438</v>
      </c>
      <c r="AH977" s="304">
        <f t="shared" ca="1" si="463"/>
        <v>-7.4318683816751525</v>
      </c>
    </row>
    <row r="978" spans="1:34" x14ac:dyDescent="0.2">
      <c r="A978" s="347">
        <f t="shared" ca="1" si="441"/>
        <v>1E-4</v>
      </c>
      <c r="B978" s="304">
        <f t="shared" ca="1" si="442"/>
        <v>33.645800000001728</v>
      </c>
      <c r="D978" s="306">
        <f t="shared" ca="1" si="443"/>
        <v>-0.72858296831130809</v>
      </c>
      <c r="E978" s="307">
        <f t="shared" ca="1" si="444"/>
        <v>-2.4138933805576368</v>
      </c>
      <c r="F978" s="304">
        <f t="shared" ca="1" si="445"/>
        <v>2.5214508510802451</v>
      </c>
      <c r="G978" s="306">
        <f t="shared" ca="1" si="446"/>
        <v>11.861512036776213</v>
      </c>
      <c r="H978" s="307">
        <f t="shared" ca="1" si="447"/>
        <v>-120.41143733434446</v>
      </c>
      <c r="I978" s="304">
        <f t="shared" ca="1" si="448"/>
        <v>120.99425485832519</v>
      </c>
      <c r="J978" s="306">
        <f t="shared" ca="1" si="449"/>
        <v>755.70453742140728</v>
      </c>
      <c r="K978" s="307">
        <f t="shared" ca="1" si="450"/>
        <v>-7.8926677682773017</v>
      </c>
      <c r="L978" s="304">
        <f t="shared" ca="1" si="435"/>
        <v>755.74575227638798</v>
      </c>
      <c r="M978" s="306">
        <f t="shared" ca="1" si="451"/>
        <v>-1.4726049368724055</v>
      </c>
      <c r="N978" s="304">
        <f t="shared" ca="1" si="452"/>
        <v>-84.374047772917862</v>
      </c>
      <c r="P978" s="310">
        <f t="shared" ca="1" si="453"/>
        <v>23</v>
      </c>
      <c r="Q978" s="304">
        <f t="shared" ca="1" si="454"/>
        <v>0</v>
      </c>
      <c r="R978" s="306">
        <f t="shared" ca="1" si="455"/>
        <v>0</v>
      </c>
      <c r="S978" s="307">
        <f t="shared" ca="1" si="456"/>
        <v>7.9769999999999968</v>
      </c>
      <c r="T978" s="304">
        <f t="shared" ca="1" si="436"/>
        <v>78.254369999999966</v>
      </c>
      <c r="U978" s="311">
        <f t="shared" ca="1" si="437"/>
        <v>0</v>
      </c>
      <c r="V978" s="306">
        <f t="shared" ca="1" si="438"/>
        <v>1.2259672335042491</v>
      </c>
      <c r="W978" s="304">
        <f t="shared" ca="1" si="439"/>
        <v>59.284613677521392</v>
      </c>
      <c r="Y978" s="314" t="str">
        <f t="shared" ca="1" si="457"/>
        <v/>
      </c>
      <c r="Z978" s="315" t="str">
        <f t="shared" ca="1" si="458"/>
        <v/>
      </c>
      <c r="AA978" s="316" t="str">
        <f t="shared" ca="1" si="459"/>
        <v/>
      </c>
      <c r="AC978" s="310" t="e">
        <f t="shared" ca="1" si="460"/>
        <v>#N/A</v>
      </c>
      <c r="AD978" s="323" t="e">
        <f t="shared" ca="1" si="461"/>
        <v>#N/A</v>
      </c>
      <c r="AE978" s="324" t="e">
        <f t="shared" ca="1" si="440"/>
        <v>#N/A</v>
      </c>
      <c r="AG978" s="306">
        <f t="shared" ca="1" si="462"/>
        <v>2.3308394577620124</v>
      </c>
      <c r="AH978" s="304">
        <f t="shared" ca="1" si="463"/>
        <v>-7.4319059646817696</v>
      </c>
    </row>
    <row r="979" spans="1:34" x14ac:dyDescent="0.2">
      <c r="A979" s="347">
        <f t="shared" ca="1" si="441"/>
        <v>1E-4</v>
      </c>
      <c r="B979" s="304">
        <f t="shared" ca="1" si="442"/>
        <v>33.645900000001731</v>
      </c>
      <c r="D979" s="306">
        <f t="shared" ca="1" si="443"/>
        <v>-0.72858077391539322</v>
      </c>
      <c r="E979" s="307">
        <f t="shared" ca="1" si="444"/>
        <v>-2.4138553997737002</v>
      </c>
      <c r="F979" s="304">
        <f t="shared" ca="1" si="445"/>
        <v>2.5214138563781638</v>
      </c>
      <c r="G979" s="306">
        <f t="shared" ca="1" si="446"/>
        <v>11.861439178698822</v>
      </c>
      <c r="H979" s="307">
        <f t="shared" ca="1" si="447"/>
        <v>-120.41167871988443</v>
      </c>
      <c r="I979" s="304">
        <f t="shared" ca="1" si="448"/>
        <v>120.99448793862736</v>
      </c>
      <c r="J979" s="306">
        <f t="shared" ca="1" si="449"/>
        <v>755.70453742140728</v>
      </c>
      <c r="K979" s="307">
        <f t="shared" ca="1" si="450"/>
        <v>-7.9047089240800128</v>
      </c>
      <c r="L979" s="304">
        <f t="shared" ca="1" si="435"/>
        <v>755.74587812470247</v>
      </c>
      <c r="M979" s="306">
        <f t="shared" ca="1" si="451"/>
        <v>-1.4726057317105961</v>
      </c>
      <c r="N979" s="304">
        <f t="shared" ca="1" si="452"/>
        <v>-84.374093313791576</v>
      </c>
      <c r="P979" s="310">
        <f t="shared" ca="1" si="453"/>
        <v>23</v>
      </c>
      <c r="Q979" s="304">
        <f t="shared" ca="1" si="454"/>
        <v>0</v>
      </c>
      <c r="R979" s="306">
        <f t="shared" ca="1" si="455"/>
        <v>0</v>
      </c>
      <c r="S979" s="307">
        <f t="shared" ca="1" si="456"/>
        <v>7.9769999999999968</v>
      </c>
      <c r="T979" s="304">
        <f t="shared" ca="1" si="436"/>
        <v>78.254369999999966</v>
      </c>
      <c r="U979" s="311">
        <f t="shared" ca="1" si="437"/>
        <v>0</v>
      </c>
      <c r="V979" s="306">
        <f t="shared" ca="1" si="438"/>
        <v>1.225968709711615</v>
      </c>
      <c r="W979" s="304">
        <f t="shared" ca="1" si="439"/>
        <v>59.284913472387451</v>
      </c>
      <c r="Y979" s="314" t="str">
        <f t="shared" ca="1" si="457"/>
        <v/>
      </c>
      <c r="Z979" s="315" t="str">
        <f t="shared" ca="1" si="458"/>
        <v/>
      </c>
      <c r="AA979" s="316" t="str">
        <f t="shared" ca="1" si="459"/>
        <v/>
      </c>
      <c r="AC979" s="310" t="e">
        <f t="shared" ca="1" si="460"/>
        <v>#N/A</v>
      </c>
      <c r="AD979" s="323" t="e">
        <f t="shared" ca="1" si="461"/>
        <v>#N/A</v>
      </c>
      <c r="AE979" s="324" t="e">
        <f t="shared" ca="1" si="440"/>
        <v>#N/A</v>
      </c>
      <c r="AG979" s="306">
        <f t="shared" ca="1" si="462"/>
        <v>2.3308026394697379</v>
      </c>
      <c r="AH979" s="304">
        <f t="shared" ca="1" si="463"/>
        <v>-7.4319435473889204</v>
      </c>
    </row>
    <row r="980" spans="1:34" x14ac:dyDescent="0.2">
      <c r="A980" s="347">
        <f t="shared" ca="1" si="441"/>
        <v>1E-4</v>
      </c>
      <c r="B980" s="304">
        <f t="shared" ca="1" si="442"/>
        <v>33.646000000001735</v>
      </c>
      <c r="D980" s="306">
        <f t="shared" ca="1" si="443"/>
        <v>-0.72857857948896365</v>
      </c>
      <c r="E980" s="307">
        <f t="shared" ca="1" si="444"/>
        <v>-2.4138174192923971</v>
      </c>
      <c r="F980" s="304">
        <f t="shared" ca="1" si="445"/>
        <v>2.52137686198822</v>
      </c>
      <c r="G980" s="306">
        <f t="shared" ca="1" si="446"/>
        <v>11.861366320840872</v>
      </c>
      <c r="H980" s="307">
        <f t="shared" ca="1" si="447"/>
        <v>-120.41192010162636</v>
      </c>
      <c r="I980" s="304">
        <f t="shared" ca="1" si="448"/>
        <v>120.99472101524773</v>
      </c>
      <c r="J980" s="306">
        <f t="shared" ca="1" si="449"/>
        <v>755.70453742140728</v>
      </c>
      <c r="K980" s="307">
        <f t="shared" ca="1" si="450"/>
        <v>-7.9167501040210881</v>
      </c>
      <c r="L980" s="304">
        <f t="shared" ca="1" si="435"/>
        <v>755.74600416509827</v>
      </c>
      <c r="M980" s="306">
        <f t="shared" ca="1" si="451"/>
        <v>-1.4726065265408421</v>
      </c>
      <c r="N980" s="304">
        <f t="shared" ca="1" si="452"/>
        <v>-84.374138854210102</v>
      </c>
      <c r="P980" s="310">
        <f t="shared" ca="1" si="453"/>
        <v>23</v>
      </c>
      <c r="Q980" s="304">
        <f t="shared" ca="1" si="454"/>
        <v>0</v>
      </c>
      <c r="R980" s="306">
        <f t="shared" ca="1" si="455"/>
        <v>0</v>
      </c>
      <c r="S980" s="307">
        <f t="shared" ca="1" si="456"/>
        <v>7.9769999999999968</v>
      </c>
      <c r="T980" s="304">
        <f t="shared" ca="1" si="436"/>
        <v>78.254369999999966</v>
      </c>
      <c r="U980" s="311">
        <f t="shared" ca="1" si="437"/>
        <v>0</v>
      </c>
      <c r="V980" s="306">
        <f t="shared" ca="1" si="438"/>
        <v>1.2259701859237184</v>
      </c>
      <c r="W980" s="304">
        <f t="shared" ca="1" si="439"/>
        <v>59.285213264864666</v>
      </c>
      <c r="Y980" s="314" t="str">
        <f t="shared" ca="1" si="457"/>
        <v/>
      </c>
      <c r="Z980" s="315" t="str">
        <f t="shared" ca="1" si="458"/>
        <v/>
      </c>
      <c r="AA980" s="316" t="str">
        <f t="shared" ca="1" si="459"/>
        <v/>
      </c>
      <c r="AC980" s="310" t="e">
        <f t="shared" ca="1" si="460"/>
        <v>#N/A</v>
      </c>
      <c r="AD980" s="323" t="e">
        <f t="shared" ca="1" si="461"/>
        <v>#N/A</v>
      </c>
      <c r="AE980" s="324" t="e">
        <f t="shared" ca="1" si="440"/>
        <v>#N/A</v>
      </c>
      <c r="AG980" s="306">
        <f t="shared" ca="1" si="462"/>
        <v>2.3307658214631291</v>
      </c>
      <c r="AH980" s="304">
        <f t="shared" ca="1" si="463"/>
        <v>-7.4319811297965996</v>
      </c>
    </row>
    <row r="981" spans="1:34" x14ac:dyDescent="0.2">
      <c r="A981" s="347">
        <f t="shared" ca="1" si="441"/>
        <v>1E-4</v>
      </c>
      <c r="B981" s="304">
        <f t="shared" ca="1" si="442"/>
        <v>33.646100000001738</v>
      </c>
      <c r="D981" s="306">
        <f t="shared" ca="1" si="443"/>
        <v>-0.72857638503201982</v>
      </c>
      <c r="E981" s="307">
        <f t="shared" ca="1" si="444"/>
        <v>-2.4137794391137213</v>
      </c>
      <c r="F981" s="304">
        <f t="shared" ca="1" si="445"/>
        <v>2.5213398679104086</v>
      </c>
      <c r="G981" s="306">
        <f t="shared" ca="1" si="446"/>
        <v>11.861293463202369</v>
      </c>
      <c r="H981" s="307">
        <f t="shared" ca="1" si="447"/>
        <v>-120.41216147957027</v>
      </c>
      <c r="I981" s="304">
        <f t="shared" ca="1" si="448"/>
        <v>120.99495408818632</v>
      </c>
      <c r="J981" s="306">
        <f t="shared" ca="1" si="449"/>
        <v>755.70453742140728</v>
      </c>
      <c r="K981" s="307">
        <f t="shared" ca="1" si="450"/>
        <v>-7.9287913081001475</v>
      </c>
      <c r="L981" s="304">
        <f t="shared" ca="1" si="435"/>
        <v>755.74613039757639</v>
      </c>
      <c r="M981" s="306">
        <f t="shared" ca="1" si="451"/>
        <v>-1.4726073213631441</v>
      </c>
      <c r="N981" s="304">
        <f t="shared" ca="1" si="452"/>
        <v>-84.374184394173469</v>
      </c>
      <c r="P981" s="310">
        <f t="shared" ca="1" si="453"/>
        <v>23</v>
      </c>
      <c r="Q981" s="304">
        <f t="shared" ca="1" si="454"/>
        <v>0</v>
      </c>
      <c r="R981" s="306">
        <f t="shared" ca="1" si="455"/>
        <v>0</v>
      </c>
      <c r="S981" s="307">
        <f t="shared" ca="1" si="456"/>
        <v>7.9769999999999968</v>
      </c>
      <c r="T981" s="304">
        <f t="shared" ca="1" si="436"/>
        <v>78.254369999999966</v>
      </c>
      <c r="U981" s="311">
        <f t="shared" ca="1" si="437"/>
        <v>0</v>
      </c>
      <c r="V981" s="306">
        <f t="shared" ca="1" si="438"/>
        <v>1.225971662140559</v>
      </c>
      <c r="W981" s="304">
        <f t="shared" ca="1" si="439"/>
        <v>59.285513054952958</v>
      </c>
      <c r="Y981" s="314" t="str">
        <f t="shared" ca="1" si="457"/>
        <v/>
      </c>
      <c r="Z981" s="315" t="str">
        <f t="shared" ca="1" si="458"/>
        <v/>
      </c>
      <c r="AA981" s="316" t="str">
        <f t="shared" ca="1" si="459"/>
        <v/>
      </c>
      <c r="AC981" s="310" t="e">
        <f t="shared" ca="1" si="460"/>
        <v>#N/A</v>
      </c>
      <c r="AD981" s="323" t="e">
        <f t="shared" ca="1" si="461"/>
        <v>#N/A</v>
      </c>
      <c r="AE981" s="324" t="e">
        <f t="shared" ca="1" si="440"/>
        <v>#N/A</v>
      </c>
      <c r="AG981" s="306">
        <f t="shared" ca="1" si="462"/>
        <v>2.3307290037421771</v>
      </c>
      <c r="AH981" s="304">
        <f t="shared" ca="1" si="463"/>
        <v>-7.4320187119048127</v>
      </c>
    </row>
    <row r="982" spans="1:34" x14ac:dyDescent="0.2">
      <c r="A982" s="347">
        <f t="shared" ca="1" si="441"/>
        <v>1E-4</v>
      </c>
      <c r="B982" s="304">
        <f t="shared" ca="1" si="442"/>
        <v>33.646200000001741</v>
      </c>
      <c r="D982" s="306">
        <f t="shared" ca="1" si="443"/>
        <v>-0.72857419054455919</v>
      </c>
      <c r="E982" s="307">
        <f t="shared" ca="1" si="444"/>
        <v>-2.4137414592376842</v>
      </c>
      <c r="F982" s="304">
        <f t="shared" ca="1" si="445"/>
        <v>2.5213028741447396</v>
      </c>
      <c r="G982" s="306">
        <f t="shared" ca="1" si="446"/>
        <v>11.861220605783314</v>
      </c>
      <c r="H982" s="307">
        <f t="shared" ca="1" si="447"/>
        <v>-120.4124028537162</v>
      </c>
      <c r="I982" s="304">
        <f t="shared" ca="1" si="448"/>
        <v>120.99518715744317</v>
      </c>
      <c r="J982" s="306">
        <f t="shared" ca="1" si="449"/>
        <v>755.70453742140728</v>
      </c>
      <c r="K982" s="307">
        <f t="shared" ca="1" si="450"/>
        <v>-7.9408325363168117</v>
      </c>
      <c r="L982" s="304">
        <f t="shared" ca="1" si="435"/>
        <v>755.74625682213798</v>
      </c>
      <c r="M982" s="306">
        <f t="shared" ca="1" si="451"/>
        <v>-1.4726081161775015</v>
      </c>
      <c r="N982" s="304">
        <f t="shared" ca="1" si="452"/>
        <v>-84.374229933681647</v>
      </c>
      <c r="P982" s="310">
        <f t="shared" ca="1" si="453"/>
        <v>23</v>
      </c>
      <c r="Q982" s="304">
        <f t="shared" ca="1" si="454"/>
        <v>0</v>
      </c>
      <c r="R982" s="306">
        <f t="shared" ca="1" si="455"/>
        <v>0</v>
      </c>
      <c r="S982" s="307">
        <f t="shared" ca="1" si="456"/>
        <v>7.9769999999999968</v>
      </c>
      <c r="T982" s="304">
        <f t="shared" ca="1" si="436"/>
        <v>78.254369999999966</v>
      </c>
      <c r="U982" s="311">
        <f t="shared" ca="1" si="437"/>
        <v>0</v>
      </c>
      <c r="V982" s="306">
        <f t="shared" ca="1" si="438"/>
        <v>1.2259731383621375</v>
      </c>
      <c r="W982" s="304">
        <f t="shared" ca="1" si="439"/>
        <v>59.285812842652433</v>
      </c>
      <c r="Y982" s="314" t="str">
        <f t="shared" ca="1" si="457"/>
        <v/>
      </c>
      <c r="Z982" s="315" t="str">
        <f t="shared" ca="1" si="458"/>
        <v/>
      </c>
      <c r="AA982" s="316" t="str">
        <f t="shared" ca="1" si="459"/>
        <v/>
      </c>
      <c r="AC982" s="310" t="e">
        <f t="shared" ca="1" si="460"/>
        <v>#N/A</v>
      </c>
      <c r="AD982" s="323" t="e">
        <f t="shared" ca="1" si="461"/>
        <v>#N/A</v>
      </c>
      <c r="AE982" s="324" t="e">
        <f t="shared" ca="1" si="440"/>
        <v>#N/A</v>
      </c>
      <c r="AG982" s="306">
        <f t="shared" ca="1" si="462"/>
        <v>2.3306921863068943</v>
      </c>
      <c r="AH982" s="304">
        <f t="shared" ca="1" si="463"/>
        <v>-7.4320562937135488</v>
      </c>
    </row>
    <row r="983" spans="1:34" x14ac:dyDescent="0.2">
      <c r="A983" s="347">
        <f t="shared" ca="1" si="441"/>
        <v>1E-4</v>
      </c>
      <c r="B983" s="304">
        <f t="shared" ca="1" si="442"/>
        <v>33.646300000001744</v>
      </c>
      <c r="D983" s="306">
        <f t="shared" ca="1" si="443"/>
        <v>-0.72857199602658806</v>
      </c>
      <c r="E983" s="307">
        <f t="shared" ca="1" si="444"/>
        <v>-2.41370347966427</v>
      </c>
      <c r="F983" s="304">
        <f t="shared" ca="1" si="445"/>
        <v>2.5212658806911996</v>
      </c>
      <c r="G983" s="306">
        <f t="shared" ca="1" si="446"/>
        <v>11.861147748583711</v>
      </c>
      <c r="H983" s="307">
        <f t="shared" ca="1" si="447"/>
        <v>-120.41264422406417</v>
      </c>
      <c r="I983" s="304">
        <f t="shared" ca="1" si="448"/>
        <v>120.9954202230183</v>
      </c>
      <c r="J983" s="306">
        <f t="shared" ca="1" si="449"/>
        <v>755.70453742140728</v>
      </c>
      <c r="K983" s="307">
        <f t="shared" ca="1" si="450"/>
        <v>-7.9528737886707006</v>
      </c>
      <c r="L983" s="304">
        <f t="shared" ca="1" si="435"/>
        <v>755.74638343878405</v>
      </c>
      <c r="M983" s="306">
        <f t="shared" ca="1" si="451"/>
        <v>-1.4726089109839151</v>
      </c>
      <c r="N983" s="304">
        <f t="shared" ca="1" si="452"/>
        <v>-84.374275472734666</v>
      </c>
      <c r="P983" s="310">
        <f t="shared" ca="1" si="453"/>
        <v>23</v>
      </c>
      <c r="Q983" s="304">
        <f t="shared" ca="1" si="454"/>
        <v>0</v>
      </c>
      <c r="R983" s="306">
        <f t="shared" ca="1" si="455"/>
        <v>0</v>
      </c>
      <c r="S983" s="307">
        <f t="shared" ca="1" si="456"/>
        <v>7.9769999999999968</v>
      </c>
      <c r="T983" s="304">
        <f t="shared" ca="1" si="436"/>
        <v>78.254369999999966</v>
      </c>
      <c r="U983" s="311">
        <f t="shared" ca="1" si="437"/>
        <v>0</v>
      </c>
      <c r="V983" s="306">
        <f t="shared" ca="1" si="438"/>
        <v>1.2259746145884531</v>
      </c>
      <c r="W983" s="304">
        <f t="shared" ca="1" si="439"/>
        <v>59.286112627962986</v>
      </c>
      <c r="Y983" s="314" t="str">
        <f t="shared" ca="1" si="457"/>
        <v/>
      </c>
      <c r="Z983" s="315" t="str">
        <f t="shared" ca="1" si="458"/>
        <v/>
      </c>
      <c r="AA983" s="316" t="str">
        <f t="shared" ca="1" si="459"/>
        <v/>
      </c>
      <c r="AC983" s="310" t="e">
        <f t="shared" ca="1" si="460"/>
        <v>#N/A</v>
      </c>
      <c r="AD983" s="323" t="e">
        <f t="shared" ca="1" si="461"/>
        <v>#N/A</v>
      </c>
      <c r="AE983" s="324" t="e">
        <f t="shared" ca="1" si="440"/>
        <v>#N/A</v>
      </c>
      <c r="AG983" s="306">
        <f t="shared" ca="1" si="462"/>
        <v>2.3306553691572676</v>
      </c>
      <c r="AH983" s="304">
        <f t="shared" ca="1" si="463"/>
        <v>-7.4320938752228232</v>
      </c>
    </row>
    <row r="984" spans="1:34" x14ac:dyDescent="0.2">
      <c r="A984" s="347">
        <f t="shared" ca="1" si="441"/>
        <v>1E-4</v>
      </c>
      <c r="B984" s="304">
        <f t="shared" ca="1" si="442"/>
        <v>33.646400000001748</v>
      </c>
      <c r="D984" s="306">
        <f t="shared" ca="1" si="443"/>
        <v>-0.72856980147810146</v>
      </c>
      <c r="E984" s="307">
        <f t="shared" ca="1" si="444"/>
        <v>-2.4136655003934946</v>
      </c>
      <c r="F984" s="304">
        <f t="shared" ca="1" si="445"/>
        <v>2.5212288875498032</v>
      </c>
      <c r="G984" s="306">
        <f t="shared" ca="1" si="446"/>
        <v>11.861074891603563</v>
      </c>
      <c r="H984" s="307">
        <f t="shared" ca="1" si="447"/>
        <v>-120.41288559061421</v>
      </c>
      <c r="I984" s="304">
        <f t="shared" ca="1" si="448"/>
        <v>120.99565328491174</v>
      </c>
      <c r="J984" s="306">
        <f t="shared" ca="1" si="449"/>
        <v>755.70453742140728</v>
      </c>
      <c r="K984" s="307">
        <f t="shared" ca="1" si="450"/>
        <v>-7.9649150651614349</v>
      </c>
      <c r="L984" s="304">
        <f t="shared" ca="1" si="435"/>
        <v>755.74651024751574</v>
      </c>
      <c r="M984" s="306">
        <f t="shared" ca="1" si="451"/>
        <v>-1.4726097057823846</v>
      </c>
      <c r="N984" s="304">
        <f t="shared" ca="1" si="452"/>
        <v>-84.37432101133254</v>
      </c>
      <c r="P984" s="310">
        <f t="shared" ca="1" si="453"/>
        <v>23</v>
      </c>
      <c r="Q984" s="304">
        <f t="shared" ca="1" si="454"/>
        <v>0</v>
      </c>
      <c r="R984" s="306">
        <f t="shared" ca="1" si="455"/>
        <v>0</v>
      </c>
      <c r="S984" s="307">
        <f t="shared" ca="1" si="456"/>
        <v>7.9769999999999968</v>
      </c>
      <c r="T984" s="304">
        <f t="shared" ca="1" si="436"/>
        <v>78.254369999999966</v>
      </c>
      <c r="U984" s="311">
        <f t="shared" ca="1" si="437"/>
        <v>0</v>
      </c>
      <c r="V984" s="306">
        <f t="shared" ca="1" si="438"/>
        <v>1.2259760908195059</v>
      </c>
      <c r="W984" s="304">
        <f t="shared" ca="1" si="439"/>
        <v>59.28641241088463</v>
      </c>
      <c r="Y984" s="314" t="str">
        <f t="shared" ca="1" si="457"/>
        <v/>
      </c>
      <c r="Z984" s="315" t="str">
        <f t="shared" ca="1" si="458"/>
        <v/>
      </c>
      <c r="AA984" s="316" t="str">
        <f t="shared" ca="1" si="459"/>
        <v/>
      </c>
      <c r="AC984" s="310" t="e">
        <f t="shared" ca="1" si="460"/>
        <v>#N/A</v>
      </c>
      <c r="AD984" s="323" t="e">
        <f t="shared" ca="1" si="461"/>
        <v>#N/A</v>
      </c>
      <c r="AE984" s="324" t="e">
        <f t="shared" ca="1" si="440"/>
        <v>#N/A</v>
      </c>
      <c r="AG984" s="306">
        <f t="shared" ca="1" si="462"/>
        <v>2.3306185522933092</v>
      </c>
      <c r="AH984" s="304">
        <f t="shared" ca="1" si="463"/>
        <v>-7.4321314564326197</v>
      </c>
    </row>
    <row r="985" spans="1:34" x14ac:dyDescent="0.2">
      <c r="A985" s="347">
        <f t="shared" ca="1" si="441"/>
        <v>1E-4</v>
      </c>
      <c r="B985" s="304">
        <f t="shared" ca="1" si="442"/>
        <v>33.646500000001751</v>
      </c>
      <c r="D985" s="306">
        <f t="shared" ca="1" si="443"/>
        <v>-0.72856760689910327</v>
      </c>
      <c r="E985" s="307">
        <f t="shared" ca="1" si="444"/>
        <v>-2.4136275214253544</v>
      </c>
      <c r="F985" s="304">
        <f t="shared" ca="1" si="445"/>
        <v>2.5211918947205478</v>
      </c>
      <c r="G985" s="306">
        <f t="shared" ca="1" si="446"/>
        <v>11.861002034842873</v>
      </c>
      <c r="H985" s="307">
        <f t="shared" ca="1" si="447"/>
        <v>-120.41312695336636</v>
      </c>
      <c r="I985" s="304">
        <f t="shared" ca="1" si="448"/>
        <v>120.99588634312354</v>
      </c>
      <c r="J985" s="306">
        <f t="shared" ca="1" si="449"/>
        <v>755.70453742140728</v>
      </c>
      <c r="K985" s="307">
        <f t="shared" ca="1" si="450"/>
        <v>-7.9769563657886335</v>
      </c>
      <c r="L985" s="304">
        <f t="shared" ca="1" si="435"/>
        <v>755.74663724833397</v>
      </c>
      <c r="M985" s="306">
        <f t="shared" ca="1" si="451"/>
        <v>-1.4726105005729102</v>
      </c>
      <c r="N985" s="304">
        <f t="shared" ca="1" si="452"/>
        <v>-84.374366549475255</v>
      </c>
      <c r="P985" s="310">
        <f t="shared" ca="1" si="453"/>
        <v>23</v>
      </c>
      <c r="Q985" s="304">
        <f t="shared" ca="1" si="454"/>
        <v>0</v>
      </c>
      <c r="R985" s="306">
        <f t="shared" ca="1" si="455"/>
        <v>0</v>
      </c>
      <c r="S985" s="307">
        <f t="shared" ca="1" si="456"/>
        <v>7.9769999999999968</v>
      </c>
      <c r="T985" s="304">
        <f t="shared" ca="1" si="436"/>
        <v>78.254369999999966</v>
      </c>
      <c r="U985" s="311">
        <f t="shared" ca="1" si="437"/>
        <v>0</v>
      </c>
      <c r="V985" s="306">
        <f t="shared" ca="1" si="438"/>
        <v>1.2259775670552966</v>
      </c>
      <c r="W985" s="304">
        <f t="shared" ca="1" si="439"/>
        <v>59.286712191417458</v>
      </c>
      <c r="Y985" s="314" t="str">
        <f t="shared" ca="1" si="457"/>
        <v/>
      </c>
      <c r="Z985" s="315" t="str">
        <f t="shared" ca="1" si="458"/>
        <v/>
      </c>
      <c r="AA985" s="316" t="str">
        <f t="shared" ca="1" si="459"/>
        <v/>
      </c>
      <c r="AC985" s="310" t="e">
        <f t="shared" ca="1" si="460"/>
        <v>#N/A</v>
      </c>
      <c r="AD985" s="323" t="e">
        <f t="shared" ca="1" si="461"/>
        <v>#N/A</v>
      </c>
      <c r="AE985" s="324" t="e">
        <f t="shared" ca="1" si="440"/>
        <v>#N/A</v>
      </c>
      <c r="AG985" s="306">
        <f t="shared" ca="1" si="462"/>
        <v>2.33058173571502</v>
      </c>
      <c r="AH985" s="304">
        <f t="shared" ca="1" si="463"/>
        <v>-7.432169037342943</v>
      </c>
    </row>
    <row r="986" spans="1:34" x14ac:dyDescent="0.2">
      <c r="A986" s="347">
        <f t="shared" ca="1" si="441"/>
        <v>1E-4</v>
      </c>
      <c r="B986" s="304">
        <f t="shared" ca="1" si="442"/>
        <v>33.646600000001754</v>
      </c>
      <c r="D986" s="306">
        <f t="shared" ca="1" si="443"/>
        <v>-0.72856541228959426</v>
      </c>
      <c r="E986" s="307">
        <f t="shared" ca="1" si="444"/>
        <v>-2.4135895427598406</v>
      </c>
      <c r="F986" s="304">
        <f t="shared" ca="1" si="445"/>
        <v>2.5211549022034254</v>
      </c>
      <c r="G986" s="306">
        <f t="shared" ca="1" si="446"/>
        <v>11.860929178301644</v>
      </c>
      <c r="H986" s="307">
        <f t="shared" ca="1" si="447"/>
        <v>-120.41336831232063</v>
      </c>
      <c r="I986" s="304">
        <f t="shared" ca="1" si="448"/>
        <v>120.9961193976537</v>
      </c>
      <c r="J986" s="306">
        <f t="shared" ca="1" si="449"/>
        <v>755.70453742140728</v>
      </c>
      <c r="K986" s="307">
        <f t="shared" ca="1" si="450"/>
        <v>-7.9889976905519182</v>
      </c>
      <c r="L986" s="304">
        <f t="shared" ca="1" si="435"/>
        <v>755.74676444123975</v>
      </c>
      <c r="M986" s="306">
        <f t="shared" ca="1" si="451"/>
        <v>-1.472611295355492</v>
      </c>
      <c r="N986" s="304">
        <f t="shared" ca="1" si="452"/>
        <v>-84.374412087162824</v>
      </c>
      <c r="P986" s="310">
        <f t="shared" ca="1" si="453"/>
        <v>23</v>
      </c>
      <c r="Q986" s="304">
        <f t="shared" ca="1" si="454"/>
        <v>0</v>
      </c>
      <c r="R986" s="306">
        <f t="shared" ca="1" si="455"/>
        <v>0</v>
      </c>
      <c r="S986" s="307">
        <f t="shared" ca="1" si="456"/>
        <v>7.9769999999999968</v>
      </c>
      <c r="T986" s="304">
        <f t="shared" ca="1" si="436"/>
        <v>78.254369999999966</v>
      </c>
      <c r="U986" s="311">
        <f t="shared" ca="1" si="437"/>
        <v>0</v>
      </c>
      <c r="V986" s="306">
        <f t="shared" ca="1" si="438"/>
        <v>1.225979043295824</v>
      </c>
      <c r="W986" s="304">
        <f t="shared" ca="1" si="439"/>
        <v>59.287011969561341</v>
      </c>
      <c r="Y986" s="314" t="str">
        <f t="shared" ca="1" si="457"/>
        <v/>
      </c>
      <c r="Z986" s="315" t="str">
        <f t="shared" ca="1" si="458"/>
        <v/>
      </c>
      <c r="AA986" s="316" t="str">
        <f t="shared" ca="1" si="459"/>
        <v/>
      </c>
      <c r="AC986" s="310" t="e">
        <f t="shared" ca="1" si="460"/>
        <v>#N/A</v>
      </c>
      <c r="AD986" s="323" t="e">
        <f t="shared" ca="1" si="461"/>
        <v>#N/A</v>
      </c>
      <c r="AE986" s="324" t="e">
        <f t="shared" ca="1" si="440"/>
        <v>#N/A</v>
      </c>
      <c r="AG986" s="306">
        <f t="shared" ca="1" si="462"/>
        <v>2.3305449194223868</v>
      </c>
      <c r="AH986" s="304">
        <f t="shared" ca="1" si="463"/>
        <v>-7.4322066179538027</v>
      </c>
    </row>
    <row r="987" spans="1:34" x14ac:dyDescent="0.2">
      <c r="A987" s="347">
        <f t="shared" ca="1" si="441"/>
        <v>1E-4</v>
      </c>
      <c r="B987" s="304">
        <f t="shared" ca="1" si="442"/>
        <v>33.646700000001758</v>
      </c>
      <c r="D987" s="306">
        <f t="shared" ca="1" si="443"/>
        <v>-0.72856321764957455</v>
      </c>
      <c r="E987" s="307">
        <f t="shared" ca="1" si="444"/>
        <v>-2.4135515643969665</v>
      </c>
      <c r="F987" s="304">
        <f t="shared" ca="1" si="445"/>
        <v>2.5211179099984484</v>
      </c>
      <c r="G987" s="306">
        <f t="shared" ca="1" si="446"/>
        <v>11.860856321979879</v>
      </c>
      <c r="H987" s="307">
        <f t="shared" ca="1" si="447"/>
        <v>-120.41360966747706</v>
      </c>
      <c r="I987" s="304">
        <f t="shared" ca="1" si="448"/>
        <v>120.99635244850225</v>
      </c>
      <c r="J987" s="306">
        <f t="shared" ca="1" si="449"/>
        <v>755.70453742140728</v>
      </c>
      <c r="K987" s="307">
        <f t="shared" ca="1" si="450"/>
        <v>-8.0010390394509088</v>
      </c>
      <c r="L987" s="304">
        <f t="shared" ca="1" si="435"/>
        <v>755.74689182623433</v>
      </c>
      <c r="M987" s="306">
        <f t="shared" ca="1" si="451"/>
        <v>-1.4726120901301303</v>
      </c>
      <c r="N987" s="304">
        <f t="shared" ca="1" si="452"/>
        <v>-84.374457624395262</v>
      </c>
      <c r="P987" s="310">
        <f t="shared" ca="1" si="453"/>
        <v>23</v>
      </c>
      <c r="Q987" s="304">
        <f t="shared" ca="1" si="454"/>
        <v>0</v>
      </c>
      <c r="R987" s="306">
        <f t="shared" ca="1" si="455"/>
        <v>0</v>
      </c>
      <c r="S987" s="307">
        <f t="shared" ca="1" si="456"/>
        <v>7.9769999999999968</v>
      </c>
      <c r="T987" s="304">
        <f t="shared" ca="1" si="436"/>
        <v>78.254369999999966</v>
      </c>
      <c r="U987" s="311">
        <f t="shared" ca="1" si="437"/>
        <v>0</v>
      </c>
      <c r="V987" s="306">
        <f t="shared" ca="1" si="438"/>
        <v>1.2259805195410889</v>
      </c>
      <c r="W987" s="304">
        <f t="shared" ca="1" si="439"/>
        <v>59.28731174531633</v>
      </c>
      <c r="Y987" s="314" t="str">
        <f t="shared" ca="1" si="457"/>
        <v/>
      </c>
      <c r="Z987" s="315" t="str">
        <f t="shared" ca="1" si="458"/>
        <v/>
      </c>
      <c r="AA987" s="316" t="str">
        <f t="shared" ca="1" si="459"/>
        <v/>
      </c>
      <c r="AC987" s="310" t="e">
        <f t="shared" ca="1" si="460"/>
        <v>#N/A</v>
      </c>
      <c r="AD987" s="323" t="e">
        <f t="shared" ca="1" si="461"/>
        <v>#N/A</v>
      </c>
      <c r="AE987" s="324" t="e">
        <f t="shared" ca="1" si="440"/>
        <v>#N/A</v>
      </c>
      <c r="AG987" s="306">
        <f t="shared" ca="1" si="462"/>
        <v>2.3305081034154256</v>
      </c>
      <c r="AH987" s="304">
        <f t="shared" ca="1" si="463"/>
        <v>-7.4322441982651828</v>
      </c>
    </row>
    <row r="988" spans="1:34" x14ac:dyDescent="0.2">
      <c r="A988" s="347">
        <f t="shared" ca="1" si="441"/>
        <v>1E-4</v>
      </c>
      <c r="B988" s="304">
        <f t="shared" ca="1" si="442"/>
        <v>33.646800000001761</v>
      </c>
      <c r="D988" s="306">
        <f t="shared" ca="1" si="443"/>
        <v>-0.72856102297904335</v>
      </c>
      <c r="E988" s="307">
        <f t="shared" ca="1" si="444"/>
        <v>-2.413513586336725</v>
      </c>
      <c r="F988" s="304">
        <f t="shared" ca="1" si="445"/>
        <v>2.5210809181056111</v>
      </c>
      <c r="G988" s="306">
        <f t="shared" ca="1" si="446"/>
        <v>11.860783465877581</v>
      </c>
      <c r="H988" s="307">
        <f t="shared" ca="1" si="447"/>
        <v>-120.4138510188357</v>
      </c>
      <c r="I988" s="304">
        <f t="shared" ca="1" si="448"/>
        <v>120.99658549566924</v>
      </c>
      <c r="J988" s="306">
        <f t="shared" ca="1" si="449"/>
        <v>755.70453742140728</v>
      </c>
      <c r="K988" s="307">
        <f t="shared" ca="1" si="450"/>
        <v>-8.0130804124852251</v>
      </c>
      <c r="L988" s="304">
        <f t="shared" ca="1" si="435"/>
        <v>755.74701940331863</v>
      </c>
      <c r="M988" s="306">
        <f t="shared" ca="1" si="451"/>
        <v>-1.472612884896825</v>
      </c>
      <c r="N988" s="304">
        <f t="shared" ca="1" si="452"/>
        <v>-84.374503161172555</v>
      </c>
      <c r="P988" s="310">
        <f t="shared" ca="1" si="453"/>
        <v>23</v>
      </c>
      <c r="Q988" s="304">
        <f t="shared" ca="1" si="454"/>
        <v>0</v>
      </c>
      <c r="R988" s="306">
        <f t="shared" ca="1" si="455"/>
        <v>0</v>
      </c>
      <c r="S988" s="307">
        <f t="shared" ca="1" si="456"/>
        <v>7.9769999999999968</v>
      </c>
      <c r="T988" s="304">
        <f t="shared" ca="1" si="436"/>
        <v>78.254369999999966</v>
      </c>
      <c r="U988" s="311">
        <f t="shared" ca="1" si="437"/>
        <v>0</v>
      </c>
      <c r="V988" s="306">
        <f t="shared" ca="1" si="438"/>
        <v>1.2259819957910916</v>
      </c>
      <c r="W988" s="304">
        <f t="shared" ca="1" si="439"/>
        <v>59.287611518682453</v>
      </c>
      <c r="Y988" s="314" t="str">
        <f t="shared" ca="1" si="457"/>
        <v/>
      </c>
      <c r="Z988" s="315" t="str">
        <f t="shared" ca="1" si="458"/>
        <v/>
      </c>
      <c r="AA988" s="316" t="str">
        <f t="shared" ca="1" si="459"/>
        <v/>
      </c>
      <c r="AC988" s="310" t="e">
        <f t="shared" ca="1" si="460"/>
        <v>#N/A</v>
      </c>
      <c r="AD988" s="323" t="e">
        <f t="shared" ca="1" si="461"/>
        <v>#N/A</v>
      </c>
      <c r="AE988" s="324" t="e">
        <f t="shared" ca="1" si="440"/>
        <v>#N/A</v>
      </c>
      <c r="AG988" s="306">
        <f t="shared" ca="1" si="462"/>
        <v>2.3304712876941318</v>
      </c>
      <c r="AH988" s="304">
        <f t="shared" ca="1" si="463"/>
        <v>-7.4322817782770914</v>
      </c>
    </row>
    <row r="989" spans="1:34" x14ac:dyDescent="0.2">
      <c r="A989" s="347">
        <f t="shared" ca="1" si="441"/>
        <v>1E-4</v>
      </c>
      <c r="B989" s="304">
        <f t="shared" ca="1" si="442"/>
        <v>33.646900000001764</v>
      </c>
      <c r="D989" s="306">
        <f t="shared" ca="1" si="443"/>
        <v>-0.72855882827800378</v>
      </c>
      <c r="E989" s="307">
        <f t="shared" ca="1" si="444"/>
        <v>-2.4134756085791169</v>
      </c>
      <c r="F989" s="304">
        <f t="shared" ca="1" si="445"/>
        <v>2.5210439265249143</v>
      </c>
      <c r="G989" s="306">
        <f t="shared" ca="1" si="446"/>
        <v>11.860710609994754</v>
      </c>
      <c r="H989" s="307">
        <f t="shared" ca="1" si="447"/>
        <v>-120.41409236639656</v>
      </c>
      <c r="I989" s="304">
        <f t="shared" ca="1" si="448"/>
        <v>120.99681853915467</v>
      </c>
      <c r="J989" s="306">
        <f t="shared" ca="1" si="449"/>
        <v>755.70453742140728</v>
      </c>
      <c r="K989" s="307">
        <f t="shared" ca="1" si="450"/>
        <v>-8.0251218096544861</v>
      </c>
      <c r="L989" s="304">
        <f t="shared" ca="1" si="435"/>
        <v>755.74714717249378</v>
      </c>
      <c r="M989" s="306">
        <f t="shared" ca="1" si="451"/>
        <v>-1.4726136796555762</v>
      </c>
      <c r="N989" s="304">
        <f t="shared" ca="1" si="452"/>
        <v>-84.374548697494731</v>
      </c>
      <c r="P989" s="310">
        <f t="shared" ca="1" si="453"/>
        <v>23</v>
      </c>
      <c r="Q989" s="304">
        <f t="shared" ca="1" si="454"/>
        <v>0</v>
      </c>
      <c r="R989" s="306">
        <f t="shared" ca="1" si="455"/>
        <v>0</v>
      </c>
      <c r="S989" s="307">
        <f t="shared" ca="1" si="456"/>
        <v>7.9769999999999968</v>
      </c>
      <c r="T989" s="304">
        <f t="shared" ca="1" si="436"/>
        <v>78.254369999999966</v>
      </c>
      <c r="U989" s="311">
        <f t="shared" ca="1" si="437"/>
        <v>0</v>
      </c>
      <c r="V989" s="306">
        <f t="shared" ca="1" si="438"/>
        <v>1.2259834720458307</v>
      </c>
      <c r="W989" s="304">
        <f t="shared" ca="1" si="439"/>
        <v>59.287911289659654</v>
      </c>
      <c r="Y989" s="314" t="str">
        <f t="shared" ca="1" si="457"/>
        <v/>
      </c>
      <c r="Z989" s="315" t="str">
        <f t="shared" ca="1" si="458"/>
        <v/>
      </c>
      <c r="AA989" s="316" t="str">
        <f t="shared" ca="1" si="459"/>
        <v/>
      </c>
      <c r="AC989" s="310" t="e">
        <f t="shared" ca="1" si="460"/>
        <v>#N/A</v>
      </c>
      <c r="AD989" s="323" t="e">
        <f t="shared" ca="1" si="461"/>
        <v>#N/A</v>
      </c>
      <c r="AE989" s="324" t="e">
        <f t="shared" ca="1" si="440"/>
        <v>#N/A</v>
      </c>
      <c r="AG989" s="306">
        <f t="shared" ca="1" si="462"/>
        <v>2.3304344722585029</v>
      </c>
      <c r="AH989" s="304">
        <f t="shared" ca="1" si="463"/>
        <v>-7.4323193579895293</v>
      </c>
    </row>
    <row r="990" spans="1:34" x14ac:dyDescent="0.2">
      <c r="A990" s="347">
        <f t="shared" ca="1" si="441"/>
        <v>1E-4</v>
      </c>
      <c r="B990" s="304">
        <f t="shared" ca="1" si="442"/>
        <v>33.647000000001768</v>
      </c>
      <c r="D990" s="306">
        <f t="shared" ca="1" si="443"/>
        <v>-0.72855663354645539</v>
      </c>
      <c r="E990" s="307">
        <f t="shared" ca="1" si="444"/>
        <v>-2.413437631124145</v>
      </c>
      <c r="F990" s="304">
        <f t="shared" ca="1" si="445"/>
        <v>2.5210069352563607</v>
      </c>
      <c r="G990" s="306">
        <f t="shared" ca="1" si="446"/>
        <v>11.8606377543314</v>
      </c>
      <c r="H990" s="307">
        <f t="shared" ca="1" si="447"/>
        <v>-120.41433371015967</v>
      </c>
      <c r="I990" s="304">
        <f t="shared" ca="1" si="448"/>
        <v>120.99705157895859</v>
      </c>
      <c r="J990" s="306">
        <f t="shared" ca="1" si="449"/>
        <v>755.70453742140728</v>
      </c>
      <c r="K990" s="307">
        <f t="shared" ca="1" si="450"/>
        <v>-8.0371632309583134</v>
      </c>
      <c r="L990" s="304">
        <f t="shared" ca="1" si="435"/>
        <v>755.7472751337607</v>
      </c>
      <c r="M990" s="306">
        <f t="shared" ca="1" si="451"/>
        <v>-1.4726144744063843</v>
      </c>
      <c r="N990" s="304">
        <f t="shared" ca="1" si="452"/>
        <v>-84.374594233361805</v>
      </c>
      <c r="P990" s="310">
        <f t="shared" ca="1" si="453"/>
        <v>23</v>
      </c>
      <c r="Q990" s="304">
        <f t="shared" ca="1" si="454"/>
        <v>0</v>
      </c>
      <c r="R990" s="306">
        <f t="shared" ca="1" si="455"/>
        <v>0</v>
      </c>
      <c r="S990" s="307">
        <f t="shared" ca="1" si="456"/>
        <v>7.9769999999999968</v>
      </c>
      <c r="T990" s="304">
        <f t="shared" ca="1" si="436"/>
        <v>78.254369999999966</v>
      </c>
      <c r="U990" s="311">
        <f t="shared" ca="1" si="437"/>
        <v>0</v>
      </c>
      <c r="V990" s="306">
        <f t="shared" ca="1" si="438"/>
        <v>1.2259849483053076</v>
      </c>
      <c r="W990" s="304">
        <f t="shared" ca="1" si="439"/>
        <v>59.288211058247946</v>
      </c>
      <c r="Y990" s="314" t="str">
        <f t="shared" ca="1" si="457"/>
        <v/>
      </c>
      <c r="Z990" s="315" t="str">
        <f t="shared" ca="1" si="458"/>
        <v/>
      </c>
      <c r="AA990" s="316" t="str">
        <f t="shared" ca="1" si="459"/>
        <v/>
      </c>
      <c r="AC990" s="310" t="e">
        <f t="shared" ca="1" si="460"/>
        <v>#N/A</v>
      </c>
      <c r="AD990" s="323" t="e">
        <f t="shared" ca="1" si="461"/>
        <v>#N/A</v>
      </c>
      <c r="AE990" s="324" t="e">
        <f t="shared" ca="1" si="440"/>
        <v>#N/A</v>
      </c>
      <c r="AG990" s="306">
        <f t="shared" ca="1" si="462"/>
        <v>2.3303976571085432</v>
      </c>
      <c r="AH990" s="304">
        <f t="shared" ca="1" si="463"/>
        <v>-7.432356937402492</v>
      </c>
    </row>
    <row r="991" spans="1:34" x14ac:dyDescent="0.2">
      <c r="A991" s="347">
        <f t="shared" ca="1" si="441"/>
        <v>1E-4</v>
      </c>
      <c r="B991" s="304">
        <f t="shared" ca="1" si="442"/>
        <v>33.647100000001771</v>
      </c>
      <c r="D991" s="306">
        <f t="shared" ca="1" si="443"/>
        <v>-0.72855443878439841</v>
      </c>
      <c r="E991" s="307">
        <f t="shared" ca="1" si="444"/>
        <v>-2.4133996539718092</v>
      </c>
      <c r="F991" s="304">
        <f t="shared" ca="1" si="445"/>
        <v>2.5209699442999511</v>
      </c>
      <c r="G991" s="306">
        <f t="shared" ca="1" si="446"/>
        <v>11.860564898887521</v>
      </c>
      <c r="H991" s="307">
        <f t="shared" ca="1" si="447"/>
        <v>-120.41457505012507</v>
      </c>
      <c r="I991" s="304">
        <f t="shared" ca="1" si="448"/>
        <v>120.99728461508103</v>
      </c>
      <c r="J991" s="306">
        <f t="shared" ca="1" si="449"/>
        <v>755.70453742140728</v>
      </c>
      <c r="K991" s="307">
        <f t="shared" ca="1" si="450"/>
        <v>-8.049204676396327</v>
      </c>
      <c r="L991" s="304">
        <f t="shared" ca="1" si="435"/>
        <v>755.74740328712062</v>
      </c>
      <c r="M991" s="306">
        <f t="shared" ca="1" si="451"/>
        <v>-1.4726152691492491</v>
      </c>
      <c r="N991" s="304">
        <f t="shared" ca="1" si="452"/>
        <v>-84.374639768773761</v>
      </c>
      <c r="P991" s="310">
        <f t="shared" ca="1" si="453"/>
        <v>23</v>
      </c>
      <c r="Q991" s="304">
        <f t="shared" ca="1" si="454"/>
        <v>0</v>
      </c>
      <c r="R991" s="306">
        <f t="shared" ca="1" si="455"/>
        <v>0</v>
      </c>
      <c r="S991" s="307">
        <f t="shared" ca="1" si="456"/>
        <v>7.9769999999999968</v>
      </c>
      <c r="T991" s="304">
        <f t="shared" ca="1" si="436"/>
        <v>78.254369999999966</v>
      </c>
      <c r="U991" s="311">
        <f t="shared" ca="1" si="437"/>
        <v>0</v>
      </c>
      <c r="V991" s="306">
        <f t="shared" ca="1" si="438"/>
        <v>1.2259864245695216</v>
      </c>
      <c r="W991" s="304">
        <f t="shared" ca="1" si="439"/>
        <v>59.288510824447364</v>
      </c>
      <c r="Y991" s="314" t="str">
        <f t="shared" ca="1" si="457"/>
        <v/>
      </c>
      <c r="Z991" s="315" t="str">
        <f t="shared" ca="1" si="458"/>
        <v/>
      </c>
      <c r="AA991" s="316" t="str">
        <f t="shared" ca="1" si="459"/>
        <v/>
      </c>
      <c r="AC991" s="310" t="e">
        <f t="shared" ca="1" si="460"/>
        <v>#N/A</v>
      </c>
      <c r="AD991" s="323" t="e">
        <f t="shared" ca="1" si="461"/>
        <v>#N/A</v>
      </c>
      <c r="AE991" s="324" t="e">
        <f t="shared" ca="1" si="440"/>
        <v>#N/A</v>
      </c>
      <c r="AG991" s="306">
        <f t="shared" ca="1" si="462"/>
        <v>2.3303608422442545</v>
      </c>
      <c r="AH991" s="304">
        <f t="shared" ca="1" si="463"/>
        <v>-7.4323945165159797</v>
      </c>
    </row>
    <row r="992" spans="1:34" x14ac:dyDescent="0.2">
      <c r="A992" s="347">
        <f t="shared" ca="1" si="441"/>
        <v>1E-4</v>
      </c>
      <c r="B992" s="304">
        <f t="shared" ca="1" si="442"/>
        <v>33.647200000001774</v>
      </c>
      <c r="D992" s="306">
        <f t="shared" ca="1" si="443"/>
        <v>-0.72855224399183471</v>
      </c>
      <c r="E992" s="307">
        <f t="shared" ca="1" si="444"/>
        <v>-2.4133616771221051</v>
      </c>
      <c r="F992" s="304">
        <f t="shared" ca="1" si="445"/>
        <v>2.5209329536556813</v>
      </c>
      <c r="G992" s="306">
        <f t="shared" ca="1" si="446"/>
        <v>11.860492043663122</v>
      </c>
      <c r="H992" s="307">
        <f t="shared" ca="1" si="447"/>
        <v>-120.41481638629278</v>
      </c>
      <c r="I992" s="304">
        <f t="shared" ca="1" si="448"/>
        <v>120.99751764752202</v>
      </c>
      <c r="J992" s="306">
        <f t="shared" ca="1" si="449"/>
        <v>755.70453742140728</v>
      </c>
      <c r="K992" s="307">
        <f t="shared" ca="1" si="450"/>
        <v>-8.0612461459681484</v>
      </c>
      <c r="L992" s="304">
        <f t="shared" ca="1" si="435"/>
        <v>755.74753163257435</v>
      </c>
      <c r="M992" s="306">
        <f t="shared" ca="1" si="451"/>
        <v>-1.472616063884171</v>
      </c>
      <c r="N992" s="304">
        <f t="shared" ca="1" si="452"/>
        <v>-84.374685303730615</v>
      </c>
      <c r="P992" s="310">
        <f t="shared" ca="1" si="453"/>
        <v>23</v>
      </c>
      <c r="Q992" s="304">
        <f t="shared" ca="1" si="454"/>
        <v>0</v>
      </c>
      <c r="R992" s="306">
        <f t="shared" ca="1" si="455"/>
        <v>0</v>
      </c>
      <c r="S992" s="307">
        <f t="shared" ca="1" si="456"/>
        <v>7.9769999999999968</v>
      </c>
      <c r="T992" s="304">
        <f t="shared" ca="1" si="436"/>
        <v>78.254369999999966</v>
      </c>
      <c r="U992" s="311">
        <f t="shared" ca="1" si="437"/>
        <v>0</v>
      </c>
      <c r="V992" s="306">
        <f t="shared" ca="1" si="438"/>
        <v>1.2259879008384724</v>
      </c>
      <c r="W992" s="304">
        <f t="shared" ca="1" si="439"/>
        <v>59.288810588257853</v>
      </c>
      <c r="Y992" s="314" t="str">
        <f t="shared" ca="1" si="457"/>
        <v/>
      </c>
      <c r="Z992" s="315" t="str">
        <f t="shared" ca="1" si="458"/>
        <v/>
      </c>
      <c r="AA992" s="316" t="str">
        <f t="shared" ca="1" si="459"/>
        <v/>
      </c>
      <c r="AC992" s="310" t="e">
        <f t="shared" ca="1" si="460"/>
        <v>#N/A</v>
      </c>
      <c r="AD992" s="323" t="e">
        <f t="shared" ca="1" si="461"/>
        <v>#N/A</v>
      </c>
      <c r="AE992" s="324" t="e">
        <f t="shared" ca="1" si="440"/>
        <v>#N/A</v>
      </c>
      <c r="AG992" s="306">
        <f t="shared" ca="1" si="462"/>
        <v>2.3303240276656281</v>
      </c>
      <c r="AH992" s="304">
        <f t="shared" ca="1" si="463"/>
        <v>-7.4324320953299976</v>
      </c>
    </row>
    <row r="993" spans="1:34" x14ac:dyDescent="0.2">
      <c r="A993" s="347">
        <f t="shared" ca="1" si="441"/>
        <v>1E-4</v>
      </c>
      <c r="B993" s="304">
        <f t="shared" ca="1" si="442"/>
        <v>33.647300000001778</v>
      </c>
      <c r="D993" s="306">
        <f t="shared" ca="1" si="443"/>
        <v>-0.72855004916876354</v>
      </c>
      <c r="E993" s="307">
        <f t="shared" ca="1" si="444"/>
        <v>-2.4133237005750399</v>
      </c>
      <c r="F993" s="304">
        <f t="shared" ca="1" si="445"/>
        <v>2.5208959633235586</v>
      </c>
      <c r="G993" s="306">
        <f t="shared" ca="1" si="446"/>
        <v>11.860419188658206</v>
      </c>
      <c r="H993" s="307">
        <f t="shared" ca="1" si="447"/>
        <v>-120.41505771866284</v>
      </c>
      <c r="I993" s="304">
        <f t="shared" ca="1" si="448"/>
        <v>120.99775067628156</v>
      </c>
      <c r="J993" s="306">
        <f t="shared" ca="1" si="449"/>
        <v>755.70453742140728</v>
      </c>
      <c r="K993" s="307">
        <f t="shared" ca="1" si="450"/>
        <v>-8.0732876396733957</v>
      </c>
      <c r="L993" s="304">
        <f t="shared" ca="1" si="435"/>
        <v>755.74766017012325</v>
      </c>
      <c r="M993" s="306">
        <f t="shared" ca="1" si="451"/>
        <v>-1.4726168586111497</v>
      </c>
      <c r="N993" s="304">
        <f t="shared" ca="1" si="452"/>
        <v>-84.374730838232352</v>
      </c>
      <c r="P993" s="310">
        <f t="shared" ca="1" si="453"/>
        <v>23</v>
      </c>
      <c r="Q993" s="304">
        <f t="shared" ca="1" si="454"/>
        <v>0</v>
      </c>
      <c r="R993" s="306">
        <f t="shared" ca="1" si="455"/>
        <v>0</v>
      </c>
      <c r="S993" s="307">
        <f t="shared" ca="1" si="456"/>
        <v>7.9769999999999968</v>
      </c>
      <c r="T993" s="304">
        <f t="shared" ca="1" si="436"/>
        <v>78.254369999999966</v>
      </c>
      <c r="U993" s="311">
        <f t="shared" ca="1" si="437"/>
        <v>0</v>
      </c>
      <c r="V993" s="306">
        <f t="shared" ca="1" si="438"/>
        <v>1.2259893771121604</v>
      </c>
      <c r="W993" s="304">
        <f t="shared" ca="1" si="439"/>
        <v>59.289110349679397</v>
      </c>
      <c r="Y993" s="314" t="str">
        <f t="shared" ca="1" si="457"/>
        <v/>
      </c>
      <c r="Z993" s="315" t="str">
        <f t="shared" ca="1" si="458"/>
        <v/>
      </c>
      <c r="AA993" s="316" t="str">
        <f t="shared" ca="1" si="459"/>
        <v/>
      </c>
      <c r="AC993" s="310" t="e">
        <f t="shared" ca="1" si="460"/>
        <v>#N/A</v>
      </c>
      <c r="AD993" s="323" t="e">
        <f t="shared" ca="1" si="461"/>
        <v>#N/A</v>
      </c>
      <c r="AE993" s="324" t="e">
        <f t="shared" ca="1" si="440"/>
        <v>#N/A</v>
      </c>
      <c r="AG993" s="306">
        <f t="shared" ca="1" si="462"/>
        <v>2.3302872133726771</v>
      </c>
      <c r="AH993" s="304">
        <f t="shared" ca="1" si="463"/>
        <v>-7.4324696738445377</v>
      </c>
    </row>
    <row r="994" spans="1:34" x14ac:dyDescent="0.2">
      <c r="A994" s="347">
        <f t="shared" ca="1" si="441"/>
        <v>1E-4</v>
      </c>
      <c r="B994" s="304">
        <f t="shared" ca="1" si="442"/>
        <v>33.647400000001781</v>
      </c>
      <c r="D994" s="306">
        <f t="shared" ca="1" si="443"/>
        <v>-0.72854785431518809</v>
      </c>
      <c r="E994" s="307">
        <f t="shared" ca="1" si="444"/>
        <v>-2.4132857243306161</v>
      </c>
      <c r="F994" s="304">
        <f t="shared" ca="1" si="445"/>
        <v>2.5208589733035862</v>
      </c>
      <c r="G994" s="306">
        <f t="shared" ca="1" si="446"/>
        <v>11.860346333872775</v>
      </c>
      <c r="H994" s="307">
        <f t="shared" ca="1" si="447"/>
        <v>-120.41529904723527</v>
      </c>
      <c r="I994" s="304">
        <f t="shared" ca="1" si="448"/>
        <v>120.9979837013597</v>
      </c>
      <c r="J994" s="306">
        <f t="shared" ca="1" si="449"/>
        <v>755.70453742140728</v>
      </c>
      <c r="K994" s="307">
        <f t="shared" ca="1" si="450"/>
        <v>-8.0853291575116906</v>
      </c>
      <c r="L994" s="304">
        <f t="shared" ca="1" si="435"/>
        <v>755.74778889976812</v>
      </c>
      <c r="M994" s="306">
        <f t="shared" ca="1" si="451"/>
        <v>-1.4726176533301858</v>
      </c>
      <c r="N994" s="304">
        <f t="shared" ca="1" si="452"/>
        <v>-84.37477637227903</v>
      </c>
      <c r="P994" s="310">
        <f t="shared" ca="1" si="453"/>
        <v>23</v>
      </c>
      <c r="Q994" s="304">
        <f t="shared" ca="1" si="454"/>
        <v>0</v>
      </c>
      <c r="R994" s="306">
        <f t="shared" ca="1" si="455"/>
        <v>0</v>
      </c>
      <c r="S994" s="307">
        <f t="shared" ca="1" si="456"/>
        <v>7.9769999999999968</v>
      </c>
      <c r="T994" s="304">
        <f t="shared" ca="1" si="436"/>
        <v>78.254369999999966</v>
      </c>
      <c r="U994" s="311">
        <f t="shared" ca="1" si="437"/>
        <v>0</v>
      </c>
      <c r="V994" s="306">
        <f t="shared" ca="1" si="438"/>
        <v>1.2259908533905857</v>
      </c>
      <c r="W994" s="304">
        <f t="shared" ca="1" si="439"/>
        <v>59.289410108712069</v>
      </c>
      <c r="Y994" s="314" t="str">
        <f t="shared" ca="1" si="457"/>
        <v/>
      </c>
      <c r="Z994" s="315" t="str">
        <f t="shared" ca="1" si="458"/>
        <v/>
      </c>
      <c r="AA994" s="316" t="str">
        <f t="shared" ca="1" si="459"/>
        <v/>
      </c>
      <c r="AC994" s="310" t="e">
        <f t="shared" ca="1" si="460"/>
        <v>#N/A</v>
      </c>
      <c r="AD994" s="323" t="e">
        <f t="shared" ca="1" si="461"/>
        <v>#N/A</v>
      </c>
      <c r="AE994" s="324" t="e">
        <f t="shared" ca="1" si="440"/>
        <v>#N/A</v>
      </c>
      <c r="AG994" s="306">
        <f t="shared" ca="1" si="462"/>
        <v>2.3302503993654025</v>
      </c>
      <c r="AH994" s="304">
        <f t="shared" ca="1" si="463"/>
        <v>-7.4325072520595992</v>
      </c>
    </row>
    <row r="995" spans="1:34" x14ac:dyDescent="0.2">
      <c r="A995" s="347">
        <f t="shared" ca="1" si="441"/>
        <v>1E-4</v>
      </c>
      <c r="B995" s="304">
        <f t="shared" ca="1" si="442"/>
        <v>33.647500000001784</v>
      </c>
      <c r="D995" s="306">
        <f t="shared" ca="1" si="443"/>
        <v>-0.72854565943110594</v>
      </c>
      <c r="E995" s="307">
        <f t="shared" ca="1" si="444"/>
        <v>-2.4132477483888231</v>
      </c>
      <c r="F995" s="304">
        <f t="shared" ca="1" si="445"/>
        <v>2.5208219835957535</v>
      </c>
      <c r="G995" s="306">
        <f t="shared" ca="1" si="446"/>
        <v>11.860273479306832</v>
      </c>
      <c r="H995" s="307">
        <f t="shared" ca="1" si="447"/>
        <v>-120.4155403720101</v>
      </c>
      <c r="I995" s="304">
        <f t="shared" ca="1" si="448"/>
        <v>120.99821672275647</v>
      </c>
      <c r="J995" s="306">
        <f t="shared" ca="1" si="449"/>
        <v>755.70453742140728</v>
      </c>
      <c r="K995" s="307">
        <f t="shared" ca="1" si="450"/>
        <v>-8.0973706994826529</v>
      </c>
      <c r="L995" s="304">
        <f t="shared" ca="1" si="435"/>
        <v>755.7479178215101</v>
      </c>
      <c r="M995" s="306">
        <f t="shared" ca="1" si="451"/>
        <v>-1.4726184480412792</v>
      </c>
      <c r="N995" s="304">
        <f t="shared" ca="1" si="452"/>
        <v>-84.374821905870604</v>
      </c>
      <c r="P995" s="310">
        <f t="shared" ca="1" si="453"/>
        <v>23</v>
      </c>
      <c r="Q995" s="304">
        <f t="shared" ca="1" si="454"/>
        <v>0</v>
      </c>
      <c r="R995" s="306">
        <f t="shared" ca="1" si="455"/>
        <v>0</v>
      </c>
      <c r="S995" s="307">
        <f t="shared" ca="1" si="456"/>
        <v>7.9769999999999968</v>
      </c>
      <c r="T995" s="304">
        <f t="shared" ca="1" si="436"/>
        <v>78.254369999999966</v>
      </c>
      <c r="U995" s="311">
        <f t="shared" ca="1" si="437"/>
        <v>0</v>
      </c>
      <c r="V995" s="306">
        <f t="shared" ca="1" si="438"/>
        <v>1.2259923296737478</v>
      </c>
      <c r="W995" s="304">
        <f t="shared" ca="1" si="439"/>
        <v>59.289709865355796</v>
      </c>
      <c r="Y995" s="314" t="str">
        <f t="shared" ca="1" si="457"/>
        <v/>
      </c>
      <c r="Z995" s="315" t="str">
        <f t="shared" ca="1" si="458"/>
        <v/>
      </c>
      <c r="AA995" s="316" t="str">
        <f t="shared" ca="1" si="459"/>
        <v/>
      </c>
      <c r="AC995" s="310" t="e">
        <f t="shared" ca="1" si="460"/>
        <v>#N/A</v>
      </c>
      <c r="AD995" s="323" t="e">
        <f t="shared" ca="1" si="461"/>
        <v>#N/A</v>
      </c>
      <c r="AE995" s="324" t="e">
        <f t="shared" ca="1" si="440"/>
        <v>#N/A</v>
      </c>
      <c r="AG995" s="306">
        <f t="shared" ca="1" si="462"/>
        <v>2.3302135856437927</v>
      </c>
      <c r="AH995" s="304">
        <f t="shared" ca="1" si="463"/>
        <v>-7.4325448299751899</v>
      </c>
    </row>
    <row r="996" spans="1:34" x14ac:dyDescent="0.2">
      <c r="A996" s="347">
        <f t="shared" ca="1" si="441"/>
        <v>1E-4</v>
      </c>
      <c r="B996" s="304">
        <f t="shared" ca="1" si="442"/>
        <v>33.647600000001788</v>
      </c>
      <c r="D996" s="306">
        <f t="shared" ca="1" si="443"/>
        <v>-0.72854346451651941</v>
      </c>
      <c r="E996" s="307">
        <f t="shared" ca="1" si="444"/>
        <v>-2.4132097727496706</v>
      </c>
      <c r="F996" s="304">
        <f t="shared" ca="1" si="445"/>
        <v>2.5207849942000706</v>
      </c>
      <c r="G996" s="306">
        <f t="shared" ca="1" si="446"/>
        <v>11.860200624960381</v>
      </c>
      <c r="H996" s="307">
        <f t="shared" ca="1" si="447"/>
        <v>-120.41578169298738</v>
      </c>
      <c r="I996" s="304">
        <f t="shared" ca="1" si="448"/>
        <v>120.9984497404719</v>
      </c>
      <c r="J996" s="306">
        <f t="shared" ca="1" si="449"/>
        <v>755.70453742140728</v>
      </c>
      <c r="K996" s="307">
        <f t="shared" ca="1" si="450"/>
        <v>-8.1094122655859024</v>
      </c>
      <c r="L996" s="304">
        <f t="shared" ca="1" si="435"/>
        <v>755.74804693535032</v>
      </c>
      <c r="M996" s="306">
        <f t="shared" ca="1" si="451"/>
        <v>-1.47261924274443</v>
      </c>
      <c r="N996" s="304">
        <f t="shared" ca="1" si="452"/>
        <v>-84.374867439007119</v>
      </c>
      <c r="P996" s="310">
        <f t="shared" ca="1" si="453"/>
        <v>23</v>
      </c>
      <c r="Q996" s="304">
        <f t="shared" ca="1" si="454"/>
        <v>0</v>
      </c>
      <c r="R996" s="306">
        <f t="shared" ca="1" si="455"/>
        <v>0</v>
      </c>
      <c r="S996" s="307">
        <f t="shared" ca="1" si="456"/>
        <v>7.9769999999999968</v>
      </c>
      <c r="T996" s="304">
        <f t="shared" ca="1" si="436"/>
        <v>78.254369999999966</v>
      </c>
      <c r="U996" s="311">
        <f t="shared" ca="1" si="437"/>
        <v>0</v>
      </c>
      <c r="V996" s="306">
        <f t="shared" ca="1" si="438"/>
        <v>1.2259938059616469</v>
      </c>
      <c r="W996" s="304">
        <f t="shared" ca="1" si="439"/>
        <v>59.290009619610608</v>
      </c>
      <c r="Y996" s="314" t="str">
        <f t="shared" ca="1" si="457"/>
        <v/>
      </c>
      <c r="Z996" s="315" t="str">
        <f t="shared" ca="1" si="458"/>
        <v/>
      </c>
      <c r="AA996" s="316" t="str">
        <f t="shared" ca="1" si="459"/>
        <v/>
      </c>
      <c r="AC996" s="310" t="e">
        <f t="shared" ca="1" si="460"/>
        <v>#N/A</v>
      </c>
      <c r="AD996" s="323" t="e">
        <f t="shared" ca="1" si="461"/>
        <v>#N/A</v>
      </c>
      <c r="AE996" s="324" t="e">
        <f t="shared" ca="1" si="440"/>
        <v>#N/A</v>
      </c>
      <c r="AG996" s="306">
        <f t="shared" ca="1" si="462"/>
        <v>2.3301767722078566</v>
      </c>
      <c r="AH996" s="304">
        <f t="shared" ca="1" si="463"/>
        <v>-7.432582407591303</v>
      </c>
    </row>
    <row r="997" spans="1:34" x14ac:dyDescent="0.2">
      <c r="A997" s="347">
        <f t="shared" ca="1" si="441"/>
        <v>1E-4</v>
      </c>
      <c r="B997" s="304">
        <f t="shared" ca="1" si="442"/>
        <v>33.647700000001791</v>
      </c>
      <c r="D997" s="306">
        <f t="shared" ca="1" si="443"/>
        <v>-0.72854126957142884</v>
      </c>
      <c r="E997" s="307">
        <f t="shared" ca="1" si="444"/>
        <v>-2.4131717974131552</v>
      </c>
      <c r="F997" s="304">
        <f t="shared" ca="1" si="445"/>
        <v>2.5207480051165345</v>
      </c>
      <c r="G997" s="306">
        <f t="shared" ca="1" si="446"/>
        <v>11.860127770833424</v>
      </c>
      <c r="H997" s="307">
        <f t="shared" ca="1" si="447"/>
        <v>-120.41602301016712</v>
      </c>
      <c r="I997" s="304">
        <f t="shared" ca="1" si="448"/>
        <v>120.99868275450602</v>
      </c>
      <c r="J997" s="306">
        <f t="shared" ca="1" si="449"/>
        <v>755.70453742140728</v>
      </c>
      <c r="K997" s="307">
        <f t="shared" ca="1" si="450"/>
        <v>-8.1214538558210609</v>
      </c>
      <c r="L997" s="304">
        <f t="shared" ca="1" si="435"/>
        <v>755.74817624128957</v>
      </c>
      <c r="M997" s="306">
        <f t="shared" ca="1" si="451"/>
        <v>-1.4726200374396383</v>
      </c>
      <c r="N997" s="304">
        <f t="shared" ca="1" si="452"/>
        <v>-84.374912971688559</v>
      </c>
      <c r="P997" s="310">
        <f t="shared" ca="1" si="453"/>
        <v>23</v>
      </c>
      <c r="Q997" s="304">
        <f t="shared" ca="1" si="454"/>
        <v>0</v>
      </c>
      <c r="R997" s="306">
        <f t="shared" ca="1" si="455"/>
        <v>0</v>
      </c>
      <c r="S997" s="307">
        <f t="shared" ca="1" si="456"/>
        <v>7.9769999999999968</v>
      </c>
      <c r="T997" s="304">
        <f t="shared" ca="1" si="436"/>
        <v>78.254369999999966</v>
      </c>
      <c r="U997" s="311">
        <f t="shared" ca="1" si="437"/>
        <v>0</v>
      </c>
      <c r="V997" s="306">
        <f t="shared" ca="1" si="438"/>
        <v>1.225995282254283</v>
      </c>
      <c r="W997" s="304">
        <f t="shared" ca="1" si="439"/>
        <v>59.290309371476511</v>
      </c>
      <c r="Y997" s="314" t="str">
        <f t="shared" ca="1" si="457"/>
        <v/>
      </c>
      <c r="Z997" s="315" t="str">
        <f t="shared" ca="1" si="458"/>
        <v/>
      </c>
      <c r="AA997" s="316" t="str">
        <f t="shared" ca="1" si="459"/>
        <v/>
      </c>
      <c r="AC997" s="310" t="e">
        <f t="shared" ca="1" si="460"/>
        <v>#N/A</v>
      </c>
      <c r="AD997" s="323" t="e">
        <f t="shared" ca="1" si="461"/>
        <v>#N/A</v>
      </c>
      <c r="AE997" s="324" t="e">
        <f t="shared" ca="1" si="440"/>
        <v>#N/A</v>
      </c>
      <c r="AG997" s="306">
        <f t="shared" ca="1" si="462"/>
        <v>2.3301399590575969</v>
      </c>
      <c r="AH997" s="304">
        <f t="shared" ca="1" si="463"/>
        <v>-7.4326199849079391</v>
      </c>
    </row>
    <row r="998" spans="1:34" x14ac:dyDescent="0.2">
      <c r="A998" s="347">
        <f t="shared" ca="1" si="441"/>
        <v>1E-4</v>
      </c>
      <c r="B998" s="304">
        <f t="shared" ca="1" si="442"/>
        <v>33.647800000001794</v>
      </c>
      <c r="D998" s="306">
        <f t="shared" ca="1" si="443"/>
        <v>-0.728539074595836</v>
      </c>
      <c r="E998" s="307">
        <f t="shared" ca="1" si="444"/>
        <v>-2.4131338223792751</v>
      </c>
      <c r="F998" s="304">
        <f t="shared" ca="1" si="445"/>
        <v>2.5207110163451438</v>
      </c>
      <c r="G998" s="306">
        <f t="shared" ca="1" si="446"/>
        <v>11.860054916925964</v>
      </c>
      <c r="H998" s="307">
        <f t="shared" ca="1" si="447"/>
        <v>-120.41626432354936</v>
      </c>
      <c r="I998" s="304">
        <f t="shared" ca="1" si="448"/>
        <v>120.99891576485885</v>
      </c>
      <c r="J998" s="306">
        <f t="shared" ca="1" si="449"/>
        <v>755.70453742140728</v>
      </c>
      <c r="K998" s="307">
        <f t="shared" ca="1" si="450"/>
        <v>-8.1334954701877464</v>
      </c>
      <c r="L998" s="304">
        <f t="shared" ca="1" si="435"/>
        <v>755.74830573932934</v>
      </c>
      <c r="M998" s="306">
        <f t="shared" ca="1" si="451"/>
        <v>-1.4726208321269043</v>
      </c>
      <c r="N998" s="304">
        <f t="shared" ca="1" si="452"/>
        <v>-84.374958503914925</v>
      </c>
      <c r="P998" s="310">
        <f t="shared" ca="1" si="453"/>
        <v>23</v>
      </c>
      <c r="Q998" s="304">
        <f t="shared" ca="1" si="454"/>
        <v>0</v>
      </c>
      <c r="R998" s="306">
        <f t="shared" ca="1" si="455"/>
        <v>0</v>
      </c>
      <c r="S998" s="307">
        <f t="shared" ca="1" si="456"/>
        <v>7.9769999999999968</v>
      </c>
      <c r="T998" s="304">
        <f t="shared" ca="1" si="436"/>
        <v>78.254369999999966</v>
      </c>
      <c r="U998" s="311">
        <f t="shared" ca="1" si="437"/>
        <v>0</v>
      </c>
      <c r="V998" s="306">
        <f t="shared" ca="1" si="438"/>
        <v>1.2259967585516565</v>
      </c>
      <c r="W998" s="304">
        <f t="shared" ca="1" si="439"/>
        <v>59.290609120953491</v>
      </c>
      <c r="Y998" s="314" t="str">
        <f t="shared" ca="1" si="457"/>
        <v/>
      </c>
      <c r="Z998" s="315" t="str">
        <f t="shared" ca="1" si="458"/>
        <v/>
      </c>
      <c r="AA998" s="316" t="str">
        <f t="shared" ca="1" si="459"/>
        <v/>
      </c>
      <c r="AC998" s="310" t="e">
        <f t="shared" ca="1" si="460"/>
        <v>#N/A</v>
      </c>
      <c r="AD998" s="323" t="e">
        <f t="shared" ca="1" si="461"/>
        <v>#N/A</v>
      </c>
      <c r="AE998" s="324" t="e">
        <f t="shared" ca="1" si="440"/>
        <v>#N/A</v>
      </c>
      <c r="AG998" s="306">
        <f t="shared" ca="1" si="462"/>
        <v>2.3301031461930046</v>
      </c>
      <c r="AH998" s="304">
        <f t="shared" ca="1" si="463"/>
        <v>-7.4326575619251019</v>
      </c>
    </row>
    <row r="999" spans="1:34" x14ac:dyDescent="0.2">
      <c r="A999" s="347">
        <f t="shared" ca="1" si="441"/>
        <v>1E-4</v>
      </c>
      <c r="B999" s="304">
        <f t="shared" ca="1" si="442"/>
        <v>33.647900000001798</v>
      </c>
      <c r="D999" s="306">
        <f t="shared" ca="1" si="443"/>
        <v>-0.72853687958974056</v>
      </c>
      <c r="E999" s="307">
        <f t="shared" ca="1" si="444"/>
        <v>-2.4130958476480329</v>
      </c>
      <c r="F999" s="304">
        <f t="shared" ca="1" si="445"/>
        <v>2.5206740278859017</v>
      </c>
      <c r="G999" s="306">
        <f t="shared" ca="1" si="446"/>
        <v>11.859982063238006</v>
      </c>
      <c r="H999" s="307">
        <f t="shared" ca="1" si="447"/>
        <v>-120.41650563313412</v>
      </c>
      <c r="I999" s="304">
        <f t="shared" ca="1" si="448"/>
        <v>120.99914877153041</v>
      </c>
      <c r="J999" s="306">
        <f t="shared" ca="1" si="449"/>
        <v>755.70453742140728</v>
      </c>
      <c r="K999" s="307">
        <f t="shared" ca="1" si="450"/>
        <v>-8.1455371086855806</v>
      </c>
      <c r="L999" s="304">
        <f t="shared" ca="1" si="435"/>
        <v>755.74843542947019</v>
      </c>
      <c r="M999" s="306">
        <f t="shared" ca="1" si="451"/>
        <v>-1.4726216268062282</v>
      </c>
      <c r="N999" s="304">
        <f t="shared" ca="1" si="452"/>
        <v>-84.375004035686246</v>
      </c>
      <c r="P999" s="310">
        <f t="shared" ca="1" si="453"/>
        <v>23</v>
      </c>
      <c r="Q999" s="304">
        <f t="shared" ca="1" si="454"/>
        <v>0</v>
      </c>
      <c r="R999" s="306">
        <f t="shared" ca="1" si="455"/>
        <v>0</v>
      </c>
      <c r="S999" s="307">
        <f t="shared" ca="1" si="456"/>
        <v>7.9769999999999968</v>
      </c>
      <c r="T999" s="304">
        <f t="shared" ca="1" si="436"/>
        <v>78.254369999999966</v>
      </c>
      <c r="U999" s="311">
        <f t="shared" ca="1" si="437"/>
        <v>0</v>
      </c>
      <c r="V999" s="306">
        <f t="shared" ca="1" si="438"/>
        <v>1.2259982348537664</v>
      </c>
      <c r="W999" s="304">
        <f t="shared" ca="1" si="439"/>
        <v>59.290908868041505</v>
      </c>
      <c r="Y999" s="314" t="str">
        <f t="shared" ca="1" si="457"/>
        <v/>
      </c>
      <c r="Z999" s="315" t="str">
        <f t="shared" ca="1" si="458"/>
        <v/>
      </c>
      <c r="AA999" s="316" t="str">
        <f t="shared" ca="1" si="459"/>
        <v/>
      </c>
      <c r="AC999" s="310" t="e">
        <f t="shared" ca="1" si="460"/>
        <v>#N/A</v>
      </c>
      <c r="AD999" s="323" t="e">
        <f t="shared" ca="1" si="461"/>
        <v>#N/A</v>
      </c>
      <c r="AE999" s="324" t="e">
        <f t="shared" ca="1" si="440"/>
        <v>#N/A</v>
      </c>
      <c r="AG999" s="306">
        <f t="shared" ca="1" si="462"/>
        <v>2.3300663336140905</v>
      </c>
      <c r="AH999" s="304">
        <f t="shared" ca="1" si="463"/>
        <v>-7.4326951386427877</v>
      </c>
    </row>
    <row r="1000" spans="1:34" x14ac:dyDescent="0.2">
      <c r="A1000" s="347">
        <f t="shared" ca="1" si="441"/>
        <v>1E-4</v>
      </c>
      <c r="B1000" s="304">
        <f t="shared" ca="1" si="442"/>
        <v>33.648000000001801</v>
      </c>
      <c r="D1000" s="306">
        <f t="shared" ca="1" si="443"/>
        <v>-0.72853468455314196</v>
      </c>
      <c r="E1000" s="307">
        <f t="shared" ca="1" si="444"/>
        <v>-2.4130578732194357</v>
      </c>
      <c r="F1000" s="304">
        <f t="shared" ca="1" si="445"/>
        <v>2.5206370397388143</v>
      </c>
      <c r="G1000" s="306">
        <f t="shared" ca="1" si="446"/>
        <v>11.859909209769551</v>
      </c>
      <c r="H1000" s="307">
        <f t="shared" ca="1" si="447"/>
        <v>-120.41674693892145</v>
      </c>
      <c r="I1000" s="304">
        <f t="shared" ca="1" si="448"/>
        <v>120.99938177452074</v>
      </c>
      <c r="J1000" s="306">
        <f t="shared" ca="1" si="449"/>
        <v>755.70453742140728</v>
      </c>
      <c r="K1000" s="307">
        <f t="shared" ca="1" si="450"/>
        <v>-8.1575787713141832</v>
      </c>
      <c r="L1000" s="304">
        <f t="shared" ca="1" si="435"/>
        <v>755.74856531171361</v>
      </c>
      <c r="M1000" s="306">
        <f t="shared" ca="1" si="451"/>
        <v>-1.4726224214776098</v>
      </c>
      <c r="N1000" s="304">
        <f t="shared" ca="1" si="452"/>
        <v>-84.37504956700252</v>
      </c>
      <c r="P1000" s="310">
        <f t="shared" ca="1" si="453"/>
        <v>23</v>
      </c>
      <c r="Q1000" s="304">
        <f t="shared" ca="1" si="454"/>
        <v>0</v>
      </c>
      <c r="R1000" s="306">
        <f t="shared" ca="1" si="455"/>
        <v>0</v>
      </c>
      <c r="S1000" s="307">
        <f t="shared" ca="1" si="456"/>
        <v>7.9769999999999968</v>
      </c>
      <c r="T1000" s="304">
        <f t="shared" ca="1" si="436"/>
        <v>78.254369999999966</v>
      </c>
      <c r="U1000" s="311">
        <f t="shared" ca="1" si="437"/>
        <v>0</v>
      </c>
      <c r="V1000" s="306">
        <f t="shared" ca="1" si="438"/>
        <v>1.2259997111606133</v>
      </c>
      <c r="W1000" s="304">
        <f t="shared" ca="1" si="439"/>
        <v>59.291208612740583</v>
      </c>
      <c r="Y1000" s="314" t="str">
        <f t="shared" ca="1" si="457"/>
        <v/>
      </c>
      <c r="Z1000" s="315" t="str">
        <f t="shared" ca="1" si="458"/>
        <v/>
      </c>
      <c r="AA1000" s="316" t="str">
        <f t="shared" ca="1" si="459"/>
        <v/>
      </c>
      <c r="AC1000" s="310" t="e">
        <f t="shared" ca="1" si="460"/>
        <v>#N/A</v>
      </c>
      <c r="AD1000" s="323" t="e">
        <f t="shared" ca="1" si="461"/>
        <v>#N/A</v>
      </c>
      <c r="AE1000" s="324" t="e">
        <f t="shared" ca="1" si="440"/>
        <v>#N/A</v>
      </c>
      <c r="AG1000" s="306">
        <f t="shared" ca="1" si="462"/>
        <v>2.3300295213208511</v>
      </c>
      <c r="AH1000" s="304">
        <f t="shared" ca="1" si="463"/>
        <v>-7.4327327150609914</v>
      </c>
    </row>
    <row r="1001" spans="1:34" x14ac:dyDescent="0.2">
      <c r="A1001" s="347">
        <f t="shared" ca="1" si="441"/>
        <v>1E-4</v>
      </c>
      <c r="B1001" s="304">
        <f t="shared" ca="1" si="442"/>
        <v>33.648100000001804</v>
      </c>
      <c r="D1001" s="306">
        <f t="shared" ca="1" si="443"/>
        <v>-0.72853248948604388</v>
      </c>
      <c r="E1001" s="307">
        <f t="shared" ca="1" si="444"/>
        <v>-2.4130198990934772</v>
      </c>
      <c r="F1001" s="304">
        <f t="shared" ca="1" si="445"/>
        <v>2.5206000519038771</v>
      </c>
      <c r="G1001" s="306">
        <f t="shared" ca="1" si="446"/>
        <v>11.859836356520603</v>
      </c>
      <c r="H1001" s="307">
        <f t="shared" ca="1" si="447"/>
        <v>-120.41698824091135</v>
      </c>
      <c r="I1001" s="304">
        <f t="shared" ca="1" si="448"/>
        <v>120.99961477382989</v>
      </c>
      <c r="J1001" s="306">
        <f t="shared" ca="1" si="449"/>
        <v>755.70453742140728</v>
      </c>
      <c r="K1001" s="307">
        <f t="shared" ca="1" si="450"/>
        <v>-8.1696204580731742</v>
      </c>
      <c r="L1001" s="304">
        <f t="shared" ca="1" si="435"/>
        <v>755.74869538606026</v>
      </c>
      <c r="M1001" s="306">
        <f t="shared" ca="1" si="451"/>
        <v>-1.4726232161410495</v>
      </c>
      <c r="N1001" s="304">
        <f t="shared" ca="1" si="452"/>
        <v>-84.375095097863749</v>
      </c>
      <c r="P1001" s="310">
        <f t="shared" ca="1" si="453"/>
        <v>23</v>
      </c>
      <c r="Q1001" s="304">
        <f t="shared" ca="1" si="454"/>
        <v>0</v>
      </c>
      <c r="R1001" s="306">
        <f t="shared" ca="1" si="455"/>
        <v>0</v>
      </c>
      <c r="S1001" s="307">
        <f t="shared" ca="1" si="456"/>
        <v>7.9769999999999968</v>
      </c>
      <c r="T1001" s="304">
        <f t="shared" ca="1" si="436"/>
        <v>78.254369999999966</v>
      </c>
      <c r="U1001" s="311">
        <f t="shared" ca="1" si="437"/>
        <v>0</v>
      </c>
      <c r="V1001" s="306">
        <f t="shared" ca="1" si="438"/>
        <v>1.2260011874721968</v>
      </c>
      <c r="W1001" s="304">
        <f t="shared" ca="1" si="439"/>
        <v>59.291508355050738</v>
      </c>
      <c r="Y1001" s="314" t="str">
        <f t="shared" ca="1" si="457"/>
        <v/>
      </c>
      <c r="Z1001" s="315" t="str">
        <f t="shared" ca="1" si="458"/>
        <v/>
      </c>
      <c r="AA1001" s="316" t="str">
        <f t="shared" ca="1" si="459"/>
        <v/>
      </c>
      <c r="AC1001" s="310" t="e">
        <f t="shared" ca="1" si="460"/>
        <v>#N/A</v>
      </c>
      <c r="AD1001" s="323" t="e">
        <f t="shared" ca="1" si="461"/>
        <v>#N/A</v>
      </c>
      <c r="AE1001" s="324" t="e">
        <f t="shared" ca="1" si="440"/>
        <v>#N/A</v>
      </c>
      <c r="AG1001" s="306">
        <f t="shared" ca="1" si="462"/>
        <v>2.3299927093132924</v>
      </c>
      <c r="AH1001" s="304">
        <f t="shared" ca="1" si="463"/>
        <v>-7.4327702911797173</v>
      </c>
    </row>
    <row r="1002" spans="1:34" x14ac:dyDescent="0.2">
      <c r="A1002" s="347">
        <f t="shared" ca="1" si="441"/>
        <v>1E-4</v>
      </c>
      <c r="B1002" s="304">
        <f t="shared" ca="1" si="442"/>
        <v>33.648200000001808</v>
      </c>
      <c r="D1002" s="306">
        <f t="shared" ca="1" si="443"/>
        <v>-0.72853029438844474</v>
      </c>
      <c r="E1002" s="307">
        <f t="shared" ca="1" si="444"/>
        <v>-2.4129819252701559</v>
      </c>
      <c r="F1002" s="304">
        <f t="shared" ca="1" si="445"/>
        <v>2.5205630643810881</v>
      </c>
      <c r="G1002" s="306">
        <f t="shared" ca="1" si="446"/>
        <v>11.859763503491164</v>
      </c>
      <c r="H1002" s="307">
        <f t="shared" ca="1" si="447"/>
        <v>-120.41722953910387</v>
      </c>
      <c r="I1002" s="304">
        <f t="shared" ca="1" si="448"/>
        <v>120.99984776945784</v>
      </c>
      <c r="J1002" s="306">
        <f t="shared" ca="1" si="449"/>
        <v>755.70453742140728</v>
      </c>
      <c r="K1002" s="307">
        <f t="shared" ca="1" si="450"/>
        <v>-8.1816621689621751</v>
      </c>
      <c r="L1002" s="304">
        <f t="shared" ca="1" si="435"/>
        <v>755.74882565251153</v>
      </c>
      <c r="M1002" s="306">
        <f t="shared" ca="1" si="451"/>
        <v>-1.4726240107965474</v>
      </c>
      <c r="N1002" s="304">
        <f t="shared" ca="1" si="452"/>
        <v>-84.375140628269946</v>
      </c>
      <c r="P1002" s="310">
        <f t="shared" ca="1" si="453"/>
        <v>23</v>
      </c>
      <c r="Q1002" s="304">
        <f t="shared" ca="1" si="454"/>
        <v>0</v>
      </c>
      <c r="R1002" s="306">
        <f t="shared" ca="1" si="455"/>
        <v>0</v>
      </c>
      <c r="S1002" s="307">
        <f t="shared" ca="1" si="456"/>
        <v>7.9769999999999968</v>
      </c>
      <c r="T1002" s="304">
        <f t="shared" ca="1" si="436"/>
        <v>78.254369999999966</v>
      </c>
      <c r="U1002" s="311">
        <f t="shared" ca="1" si="437"/>
        <v>0</v>
      </c>
      <c r="V1002" s="306">
        <f t="shared" ca="1" si="438"/>
        <v>1.2260026637885171</v>
      </c>
      <c r="W1002" s="304">
        <f t="shared" ca="1" si="439"/>
        <v>59.291808094971941</v>
      </c>
      <c r="Y1002" s="314" t="str">
        <f t="shared" ca="1" si="457"/>
        <v/>
      </c>
      <c r="Z1002" s="315" t="str">
        <f t="shared" ca="1" si="458"/>
        <v/>
      </c>
      <c r="AA1002" s="316" t="str">
        <f t="shared" ca="1" si="459"/>
        <v/>
      </c>
      <c r="AC1002" s="310" t="e">
        <f t="shared" ca="1" si="460"/>
        <v>#N/A</v>
      </c>
      <c r="AD1002" s="323" t="e">
        <f t="shared" ca="1" si="461"/>
        <v>#N/A</v>
      </c>
      <c r="AE1002" s="324" t="e">
        <f t="shared" ca="1" si="440"/>
        <v>#N/A</v>
      </c>
      <c r="AG1002" s="306">
        <f t="shared" ca="1" si="462"/>
        <v>2.3299558975914056</v>
      </c>
      <c r="AH1002" s="304">
        <f t="shared" ca="1" si="463"/>
        <v>-7.4328078669989672</v>
      </c>
    </row>
    <row r="1003" spans="1:34" x14ac:dyDescent="0.2">
      <c r="A1003" s="347">
        <f t="shared" ca="1" si="441"/>
        <v>1E-4</v>
      </c>
      <c r="B1003" s="304">
        <f t="shared" ca="1" si="442"/>
        <v>33.648300000001811</v>
      </c>
      <c r="D1003" s="306">
        <f t="shared" ca="1" si="443"/>
        <v>-0.72852809926034579</v>
      </c>
      <c r="E1003" s="307">
        <f t="shared" ca="1" si="444"/>
        <v>-2.412943951749476</v>
      </c>
      <c r="F1003" s="304">
        <f t="shared" ca="1" si="445"/>
        <v>2.5205260771704525</v>
      </c>
      <c r="G1003" s="306">
        <f t="shared" ca="1" si="446"/>
        <v>11.859690650681239</v>
      </c>
      <c r="H1003" s="307">
        <f t="shared" ca="1" si="447"/>
        <v>-120.41747083349905</v>
      </c>
      <c r="I1003" s="304">
        <f t="shared" ca="1" si="448"/>
        <v>121.00008076140466</v>
      </c>
      <c r="J1003" s="306">
        <f t="shared" ca="1" si="449"/>
        <v>755.70453742140728</v>
      </c>
      <c r="K1003" s="307">
        <f t="shared" ca="1" si="450"/>
        <v>-8.1937039039808059</v>
      </c>
      <c r="L1003" s="304">
        <f t="shared" ca="1" si="435"/>
        <v>755.7489561110682</v>
      </c>
      <c r="M1003" s="306">
        <f t="shared" ca="1" si="451"/>
        <v>-1.4726248054441033</v>
      </c>
      <c r="N1003" s="304">
        <f t="shared" ca="1" si="452"/>
        <v>-84.375186158221098</v>
      </c>
      <c r="P1003" s="310">
        <f t="shared" ca="1" si="453"/>
        <v>23</v>
      </c>
      <c r="Q1003" s="304">
        <f t="shared" ca="1" si="454"/>
        <v>0</v>
      </c>
      <c r="R1003" s="306">
        <f t="shared" ca="1" si="455"/>
        <v>0</v>
      </c>
      <c r="S1003" s="307">
        <f t="shared" ca="1" si="456"/>
        <v>7.9769999999999968</v>
      </c>
      <c r="T1003" s="304">
        <f t="shared" ca="1" si="436"/>
        <v>78.254369999999966</v>
      </c>
      <c r="U1003" s="311">
        <f t="shared" ca="1" si="437"/>
        <v>0</v>
      </c>
      <c r="V1003" s="306">
        <f ca="1">Rho_moyen*(20000-Alt_rampe-pos_z)/(20000+Alt_rampe+pos_z)</f>
        <v>1.2260041401095745</v>
      </c>
      <c r="W1003" s="304">
        <f t="shared" ca="1" si="439"/>
        <v>59.2921078325042</v>
      </c>
      <c r="Y1003" s="314" t="str">
        <f t="shared" ca="1" si="457"/>
        <v/>
      </c>
      <c r="Z1003" s="315" t="str">
        <f t="shared" ca="1" si="458"/>
        <v/>
      </c>
      <c r="AA1003" s="316" t="str">
        <f t="shared" ca="1" si="459"/>
        <v/>
      </c>
      <c r="AC1003" s="310" t="e">
        <f t="shared" ca="1" si="460"/>
        <v>#N/A</v>
      </c>
      <c r="AD1003" s="323" t="e">
        <f t="shared" ca="1" si="461"/>
        <v>#N/A</v>
      </c>
      <c r="AE1003" s="324" t="e">
        <f t="shared" ca="1" si="440"/>
        <v>#N/A</v>
      </c>
      <c r="AG1003" s="306">
        <f t="shared" ca="1" si="462"/>
        <v>2.3299190861551988</v>
      </c>
      <c r="AH1003" s="304">
        <f t="shared" ca="1" si="463"/>
        <v>-7.4328454425187367</v>
      </c>
    </row>
    <row r="1004" spans="1:34" x14ac:dyDescent="0.2">
      <c r="A1004" s="348">
        <f t="shared" ca="1" si="441"/>
        <v>1E-4</v>
      </c>
      <c r="B1004" s="305">
        <f t="shared" ca="1" si="442"/>
        <v>33.648400000001814</v>
      </c>
      <c r="D1004" s="308">
        <f t="shared" ca="1" si="443"/>
        <v>-0.728525904101749</v>
      </c>
      <c r="E1004" s="309">
        <f t="shared" ca="1" si="444"/>
        <v>-2.4129059785314375</v>
      </c>
      <c r="F1004" s="305">
        <f t="shared" ca="1" si="445"/>
        <v>2.5204890902719703</v>
      </c>
      <c r="G1004" s="308">
        <f t="shared" ca="1" si="446"/>
        <v>11.859617798090829</v>
      </c>
      <c r="H1004" s="309">
        <f t="shared" ca="1" si="447"/>
        <v>-120.41771212409691</v>
      </c>
      <c r="I1004" s="305">
        <f t="shared" ca="1" si="448"/>
        <v>121.00031374967037</v>
      </c>
      <c r="J1004" s="308">
        <f t="shared" ca="1" si="449"/>
        <v>755.70453742140728</v>
      </c>
      <c r="K1004" s="309">
        <f t="shared" ca="1" si="450"/>
        <v>-8.2057456631286865</v>
      </c>
      <c r="L1004" s="305">
        <f t="shared" ca="1" si="435"/>
        <v>755.74908676173141</v>
      </c>
      <c r="M1004" s="308">
        <f t="shared" ca="1" si="451"/>
        <v>-1.4726256000837179</v>
      </c>
      <c r="N1004" s="305">
        <f t="shared" ca="1" si="452"/>
        <v>-84.375231687717246</v>
      </c>
      <c r="P1004" s="312">
        <f t="shared" ca="1" si="453"/>
        <v>23</v>
      </c>
      <c r="Q1004" s="305">
        <f t="shared" ca="1" si="454"/>
        <v>0</v>
      </c>
      <c r="R1004" s="308">
        <f t="shared" ca="1" si="455"/>
        <v>0</v>
      </c>
      <c r="S1004" s="309">
        <f t="shared" ca="1" si="456"/>
        <v>7.9769999999999968</v>
      </c>
      <c r="T1004" s="305">
        <f t="shared" ca="1" si="436"/>
        <v>78.254369999999966</v>
      </c>
      <c r="U1004" s="313">
        <f t="shared" ca="1" si="437"/>
        <v>0</v>
      </c>
      <c r="V1004" s="308">
        <f t="shared" ca="1" si="438"/>
        <v>1.2260056164353688</v>
      </c>
      <c r="W1004" s="305">
        <f ca="1">1/2*Rho*Sref*Cx*vit_xz^2</f>
        <v>59.292407567647544</v>
      </c>
      <c r="Y1004" s="317" t="str">
        <f ca="1">IF(AND(pos_z&lt;=0,K1003&gt;0),"Impact balistique","") &amp; IF(AND(H1005&lt;0,vit_z&gt;=0),"Apogée","") &amp; IF(AND(Poussee=0,Q1003&gt;0),"Fin de propulsion","") &amp; IF(AND(L1005&gt;L_rampe,pos_xz&lt;=L_rampe),"Sortie de rampe","")</f>
        <v/>
      </c>
      <c r="Z1004" s="318" t="str">
        <f t="shared" ca="1" si="458"/>
        <v/>
      </c>
      <c r="AA1004" s="319" t="str">
        <f t="shared" ca="1" si="459"/>
        <v/>
      </c>
      <c r="AC1004" s="312" t="e">
        <f t="shared" ca="1" si="460"/>
        <v>#N/A</v>
      </c>
      <c r="AD1004" s="325" t="e">
        <f t="shared" ca="1" si="461"/>
        <v>#N/A</v>
      </c>
      <c r="AE1004" s="326" t="e">
        <f t="shared" ca="1" si="440"/>
        <v>#N/A</v>
      </c>
      <c r="AG1004" s="308">
        <f t="shared" ca="1" si="462"/>
        <v>2.3298822750046684</v>
      </c>
      <c r="AH1004" s="305">
        <f t="shared" ca="1" si="463"/>
        <v>-7.4328830177390275</v>
      </c>
    </row>
    <row r="1005" spans="1:34" x14ac:dyDescent="0.2">
      <c r="Y1005" s="303"/>
    </row>
    <row r="1010" spans="12:12" x14ac:dyDescent="0.2">
      <c r="L1010"/>
    </row>
    <row r="1034" spans="5:25" x14ac:dyDescent="0.2">
      <c r="E1034" s="300" t="s">
        <v>254</v>
      </c>
      <c r="J1034" s="301" t="s">
        <v>246</v>
      </c>
      <c r="T1034" s="300" t="s">
        <v>245</v>
      </c>
      <c r="Y1034" s="302" t="s">
        <v>248</v>
      </c>
    </row>
    <row r="1035" spans="5:25" x14ac:dyDescent="0.2">
      <c r="E1035" s="299" t="s">
        <v>258</v>
      </c>
    </row>
    <row r="1036" spans="5:25" x14ac:dyDescent="0.2">
      <c r="E1036" s="299"/>
      <c r="T1036" s="299" t="s">
        <v>251</v>
      </c>
    </row>
    <row r="1037" spans="5:25" x14ac:dyDescent="0.2">
      <c r="E1037" s="299"/>
      <c r="T1037" s="299" t="s">
        <v>255</v>
      </c>
    </row>
    <row r="1038" spans="5:25" x14ac:dyDescent="0.2">
      <c r="E1038" s="299"/>
      <c r="T1038" s="299" t="s">
        <v>256</v>
      </c>
    </row>
    <row r="1039" spans="5:25" x14ac:dyDescent="0.2">
      <c r="E1039" s="299"/>
      <c r="T1039" s="299" t="s">
        <v>262</v>
      </c>
    </row>
    <row r="1040" spans="5:25" x14ac:dyDescent="0.2">
      <c r="E1040" s="299" t="s">
        <v>257</v>
      </c>
      <c r="T1040" s="299" t="s">
        <v>247</v>
      </c>
    </row>
    <row r="1041" spans="5:20" x14ac:dyDescent="0.2">
      <c r="E1041" s="299"/>
      <c r="T1041" s="299" t="s">
        <v>263</v>
      </c>
    </row>
    <row r="1042" spans="5:20" x14ac:dyDescent="0.2">
      <c r="E1042" s="299"/>
      <c r="R1042" s="303"/>
      <c r="T1042" s="299"/>
    </row>
    <row r="1043" spans="5:20" x14ac:dyDescent="0.2">
      <c r="E1043" s="299"/>
    </row>
    <row r="1044" spans="5:20" x14ac:dyDescent="0.2">
      <c r="E1044" s="299"/>
    </row>
    <row r="1045" spans="5:20" x14ac:dyDescent="0.2">
      <c r="E1045" s="299" t="s">
        <v>260</v>
      </c>
      <c r="R1045" s="303"/>
      <c r="T1045" s="299"/>
    </row>
    <row r="1046" spans="5:20" x14ac:dyDescent="0.2">
      <c r="E1046" s="299"/>
    </row>
    <row r="1047" spans="5:20" x14ac:dyDescent="0.2">
      <c r="E1047" s="299"/>
    </row>
    <row r="1048" spans="5:20" x14ac:dyDescent="0.2">
      <c r="E1048" s="299"/>
      <c r="T1048" s="298" t="s">
        <v>253</v>
      </c>
    </row>
    <row r="1049" spans="5:20" x14ac:dyDescent="0.2">
      <c r="E1049" s="299"/>
    </row>
    <row r="1050" spans="5:20" x14ac:dyDescent="0.2">
      <c r="E1050" s="299" t="s">
        <v>261</v>
      </c>
    </row>
    <row r="1053" spans="5:20" x14ac:dyDescent="0.2">
      <c r="T1053" s="298" t="s">
        <v>268</v>
      </c>
    </row>
    <row r="1055" spans="5:20" x14ac:dyDescent="0.2">
      <c r="E1055" s="299" t="s">
        <v>250</v>
      </c>
    </row>
    <row r="1058" spans="5:20" x14ac:dyDescent="0.2">
      <c r="T1058" s="299" t="s">
        <v>269</v>
      </c>
    </row>
    <row r="1060" spans="5:20" x14ac:dyDescent="0.2">
      <c r="E1060" s="299" t="s">
        <v>259</v>
      </c>
    </row>
    <row r="1061" spans="5:20" x14ac:dyDescent="0.2">
      <c r="E1061" s="299"/>
    </row>
    <row r="1062" spans="5:20" x14ac:dyDescent="0.2">
      <c r="E1062" s="299"/>
    </row>
    <row r="1063" spans="5:20" x14ac:dyDescent="0.2">
      <c r="E1063" s="299"/>
    </row>
    <row r="1064" spans="5:20" x14ac:dyDescent="0.2">
      <c r="E1064" s="299"/>
    </row>
    <row r="1065" spans="5:20" x14ac:dyDescent="0.2">
      <c r="E1065" s="299" t="s">
        <v>249</v>
      </c>
    </row>
    <row r="1066" spans="5:20" x14ac:dyDescent="0.2">
      <c r="E1066" s="299"/>
    </row>
    <row r="1067" spans="5:20" x14ac:dyDescent="0.2">
      <c r="E1067" s="299"/>
    </row>
    <row r="1068" spans="5:20" x14ac:dyDescent="0.2">
      <c r="E1068" s="299"/>
    </row>
    <row r="1069" spans="5:20" x14ac:dyDescent="0.2">
      <c r="E1069" s="299"/>
    </row>
    <row r="1070" spans="5:20" x14ac:dyDescent="0.2">
      <c r="E1070" s="299" t="s">
        <v>252</v>
      </c>
    </row>
    <row r="1071" spans="5:20" x14ac:dyDescent="0.2">
      <c r="E1071" s="299"/>
    </row>
    <row r="1072" spans="5:20" x14ac:dyDescent="0.2">
      <c r="E1072" s="299"/>
    </row>
    <row r="1073" spans="5:5" x14ac:dyDescent="0.2">
      <c r="E1073" s="299"/>
    </row>
    <row r="1074" spans="5:5" x14ac:dyDescent="0.2">
      <c r="E1074" s="299"/>
    </row>
    <row r="1075" spans="5:5" x14ac:dyDescent="0.2">
      <c r="E1075" s="299" t="s">
        <v>264</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9525</xdr:colOff>
                <xdr:row>1010</xdr:row>
                <xdr:rowOff>104775</xdr:rowOff>
              </from>
              <to>
                <xdr:col>20</xdr:col>
                <xdr:colOff>295275</xdr:colOff>
                <xdr:row>1013</xdr:row>
                <xdr:rowOff>28575</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28575</xdr:colOff>
                <xdr:row>1024</xdr:row>
                <xdr:rowOff>161925</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257175</xdr:colOff>
                <xdr:row>1006</xdr:row>
                <xdr:rowOff>28575</xdr:rowOff>
              </from>
              <to>
                <xdr:col>24</xdr:col>
                <xdr:colOff>152400</xdr:colOff>
                <xdr:row>1007</xdr:row>
                <xdr:rowOff>104775</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9525</xdr:colOff>
                <xdr:row>1017</xdr:row>
                <xdr:rowOff>161925</xdr:rowOff>
              </from>
              <to>
                <xdr:col>10</xdr:col>
                <xdr:colOff>581025</xdr:colOff>
                <xdr:row>1019</xdr:row>
                <xdr:rowOff>142875</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9525</xdr:colOff>
                <xdr:row>1014</xdr:row>
                <xdr:rowOff>180975</xdr:rowOff>
              </from>
              <to>
                <xdr:col>11</xdr:col>
                <xdr:colOff>266700</xdr:colOff>
                <xdr:row>1016</xdr:row>
                <xdr:rowOff>66675</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9525</xdr:colOff>
                <xdr:row>1016</xdr:row>
                <xdr:rowOff>76200</xdr:rowOff>
              </from>
              <to>
                <xdr:col>11</xdr:col>
                <xdr:colOff>238125</xdr:colOff>
                <xdr:row>1017</xdr:row>
                <xdr:rowOff>161925</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66675</xdr:rowOff>
              </from>
              <to>
                <xdr:col>17</xdr:col>
                <xdr:colOff>276225</xdr:colOff>
                <xdr:row>1024</xdr:row>
                <xdr:rowOff>161925</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238125</xdr:colOff>
                <xdr:row>1010</xdr:row>
                <xdr:rowOff>85725</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104775</xdr:rowOff>
              </from>
              <to>
                <xdr:col>12</xdr:col>
                <xdr:colOff>238125</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9525</xdr:colOff>
                <xdr:row>1006</xdr:row>
                <xdr:rowOff>104775</xdr:rowOff>
              </from>
              <to>
                <xdr:col>3</xdr:col>
                <xdr:colOff>542925</xdr:colOff>
                <xdr:row>1007</xdr:row>
                <xdr:rowOff>180975</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180975</xdr:rowOff>
              </from>
              <to>
                <xdr:col>16</xdr:col>
                <xdr:colOff>0</xdr:colOff>
                <xdr:row>1026</xdr:row>
                <xdr:rowOff>142875</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9525</xdr:colOff>
                <xdr:row>1013</xdr:row>
                <xdr:rowOff>28575</xdr:rowOff>
              </from>
              <to>
                <xdr:col>21</xdr:col>
                <xdr:colOff>28575</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9525</xdr:colOff>
                <xdr:row>1005</xdr:row>
                <xdr:rowOff>9525</xdr:rowOff>
              </from>
              <to>
                <xdr:col>10</xdr:col>
                <xdr:colOff>409575</xdr:colOff>
                <xdr:row>1006</xdr:row>
                <xdr:rowOff>85725</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9525</xdr:rowOff>
              </from>
              <to>
                <xdr:col>8</xdr:col>
                <xdr:colOff>190500</xdr:colOff>
                <xdr:row>1014</xdr:row>
                <xdr:rowOff>161925</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9525</xdr:colOff>
                <xdr:row>1018</xdr:row>
                <xdr:rowOff>47625</xdr:rowOff>
              </from>
              <to>
                <xdr:col>24</xdr:col>
                <xdr:colOff>1076325</xdr:colOff>
                <xdr:row>1019</xdr:row>
                <xdr:rowOff>142875</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142875</xdr:rowOff>
              </from>
              <to>
                <xdr:col>20</xdr:col>
                <xdr:colOff>581025</xdr:colOff>
                <xdr:row>1022</xdr:row>
                <xdr:rowOff>47625</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47625</xdr:rowOff>
              </from>
              <to>
                <xdr:col>19</xdr:col>
                <xdr:colOff>180975</xdr:colOff>
                <xdr:row>1019</xdr:row>
                <xdr:rowOff>142875</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9525</xdr:colOff>
                <xdr:row>1007</xdr:row>
                <xdr:rowOff>123825</xdr:rowOff>
              </from>
              <to>
                <xdr:col>37</xdr:col>
                <xdr:colOff>276225</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9525</xdr:colOff>
                <xdr:row>1010</xdr:row>
                <xdr:rowOff>85725</xdr:rowOff>
              </from>
              <to>
                <xdr:col>35</xdr:col>
                <xdr:colOff>723900</xdr:colOff>
                <xdr:row>1013</xdr:row>
                <xdr:rowOff>47625</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28575</xdr:rowOff>
              </from>
              <to>
                <xdr:col>11</xdr:col>
                <xdr:colOff>561975</xdr:colOff>
                <xdr:row>1038</xdr:row>
                <xdr:rowOff>28575</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28575</xdr:rowOff>
              </from>
              <to>
                <xdr:col>12</xdr:col>
                <xdr:colOff>28575</xdr:colOff>
                <xdr:row>1043</xdr:row>
                <xdr:rowOff>28575</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9525</xdr:colOff>
                <xdr:row>1014</xdr:row>
                <xdr:rowOff>123825</xdr:rowOff>
              </from>
              <to>
                <xdr:col>20</xdr:col>
                <xdr:colOff>333375</xdr:colOff>
                <xdr:row>1016</xdr:row>
                <xdr:rowOff>9525</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257175</xdr:colOff>
                <xdr:row>1007</xdr:row>
                <xdr:rowOff>114300</xdr:rowOff>
              </from>
              <to>
                <xdr:col>32</xdr:col>
                <xdr:colOff>161925</xdr:colOff>
                <xdr:row>1010</xdr:row>
                <xdr:rowOff>85725</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28575</xdr:rowOff>
              </from>
              <to>
                <xdr:col>12</xdr:col>
                <xdr:colOff>333375</xdr:colOff>
                <xdr:row>1058</xdr:row>
                <xdr:rowOff>47625</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28575</xdr:rowOff>
              </from>
              <to>
                <xdr:col>15</xdr:col>
                <xdr:colOff>47625</xdr:colOff>
                <xdr:row>1063</xdr:row>
                <xdr:rowOff>47625</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28575</xdr:rowOff>
              </from>
              <to>
                <xdr:col>16</xdr:col>
                <xdr:colOff>676275</xdr:colOff>
                <xdr:row>1068</xdr:row>
                <xdr:rowOff>47625</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28575</xdr:rowOff>
              </from>
              <to>
                <xdr:col>16</xdr:col>
                <xdr:colOff>104775</xdr:colOff>
                <xdr:row>1048</xdr:row>
                <xdr:rowOff>28575</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28575</xdr:rowOff>
              </from>
              <to>
                <xdr:col>16</xdr:col>
                <xdr:colOff>390525</xdr:colOff>
                <xdr:row>1053</xdr:row>
                <xdr:rowOff>47625</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28575</xdr:rowOff>
              </from>
              <to>
                <xdr:col>12</xdr:col>
                <xdr:colOff>409575</xdr:colOff>
                <xdr:row>1073</xdr:row>
                <xdr:rowOff>47625</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28575</xdr:rowOff>
              </from>
              <to>
                <xdr:col>32</xdr:col>
                <xdr:colOff>419100</xdr:colOff>
                <xdr:row>1056</xdr:row>
                <xdr:rowOff>28575</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28575</xdr:colOff>
                <xdr:row>1022</xdr:row>
                <xdr:rowOff>47625</xdr:rowOff>
              </from>
              <to>
                <xdr:col>32</xdr:col>
                <xdr:colOff>266700</xdr:colOff>
                <xdr:row>1024</xdr:row>
                <xdr:rowOff>142875</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28575</xdr:rowOff>
              </from>
              <to>
                <xdr:col>36</xdr:col>
                <xdr:colOff>161925</xdr:colOff>
                <xdr:row>1020</xdr:row>
                <xdr:rowOff>28575</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695325</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47625</xdr:rowOff>
              </from>
              <to>
                <xdr:col>35</xdr:col>
                <xdr:colOff>142875</xdr:colOff>
                <xdr:row>1023</xdr:row>
                <xdr:rowOff>47625</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66675</xdr:rowOff>
              </from>
              <to>
                <xdr:col>36</xdr:col>
                <xdr:colOff>47625</xdr:colOff>
                <xdr:row>1026</xdr:row>
                <xdr:rowOff>66675</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28575</xdr:rowOff>
              </from>
              <to>
                <xdr:col>34</xdr:col>
                <xdr:colOff>352425</xdr:colOff>
                <xdr:row>1051</xdr:row>
                <xdr:rowOff>85725</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81"/>
  <sheetViews>
    <sheetView showGridLines="0" zoomScaleNormal="100" workbookViewId="0">
      <selection activeCell="E13" sqref="E13"/>
    </sheetView>
  </sheetViews>
  <sheetFormatPr baseColWidth="10" defaultRowHeight="12.75" x14ac:dyDescent="0.2"/>
  <cols>
    <col min="1" max="1" width="2.140625" customWidth="1"/>
    <col min="2" max="2" width="16.140625" customWidth="1"/>
    <col min="3" max="4" width="11.42578125" customWidth="1"/>
  </cols>
  <sheetData>
    <row r="1" spans="1:13" x14ac:dyDescent="0.2">
      <c r="A1" s="51"/>
      <c r="B1" s="52"/>
      <c r="C1" s="53"/>
      <c r="D1" s="52"/>
      <c r="E1" s="72"/>
      <c r="F1" s="72"/>
      <c r="G1" s="72"/>
      <c r="H1" s="72"/>
      <c r="I1" s="72"/>
      <c r="J1" s="72"/>
      <c r="K1" s="72"/>
      <c r="L1" s="72"/>
      <c r="M1" s="73"/>
    </row>
    <row r="2" spans="1:13" ht="12.75" customHeight="1" x14ac:dyDescent="0.2">
      <c r="A2" s="56"/>
      <c r="B2" s="2"/>
      <c r="C2" s="632" t="s">
        <v>281</v>
      </c>
      <c r="D2" s="632"/>
      <c r="M2" s="75"/>
    </row>
    <row r="3" spans="1:13" ht="12.75" customHeight="1" x14ac:dyDescent="0.2">
      <c r="A3" s="56"/>
      <c r="B3" s="2"/>
      <c r="C3" s="632"/>
      <c r="D3" s="632"/>
      <c r="M3" s="75"/>
    </row>
    <row r="4" spans="1:13" x14ac:dyDescent="0.2">
      <c r="A4" s="56"/>
      <c r="B4" s="2"/>
      <c r="C4" s="636" t="str">
        <f>IF(Lang="Français","Abaques de performance",IF(Lang="English","Performance charts",""))</f>
        <v>Abaques de performance</v>
      </c>
      <c r="D4" s="636"/>
      <c r="M4" s="75"/>
    </row>
    <row r="5" spans="1:13" x14ac:dyDescent="0.2">
      <c r="A5" s="56"/>
      <c r="B5" s="2"/>
      <c r="C5" s="636" t="str">
        <f>IF(Lang="Français","Calcul analytique simple",IF(Lang="English","Analytical computation",""))</f>
        <v>Calcul analytique simple</v>
      </c>
      <c r="D5" s="636"/>
      <c r="M5" s="75"/>
    </row>
    <row r="6" spans="1:13" x14ac:dyDescent="0.2">
      <c r="A6" s="56"/>
      <c r="B6" s="87"/>
      <c r="C6" s="1"/>
      <c r="D6" s="1"/>
      <c r="M6" s="75"/>
    </row>
    <row r="7" spans="1:13" x14ac:dyDescent="0.2">
      <c r="A7" s="59"/>
      <c r="B7" s="6"/>
      <c r="C7" s="612" t="str">
        <f>IF(Lang="Français","Fusée",IF(Lang="English","Rocket",""))</f>
        <v>Fusée</v>
      </c>
      <c r="D7" s="612"/>
      <c r="M7" s="75"/>
    </row>
    <row r="8" spans="1:13" ht="15.75" x14ac:dyDescent="0.25">
      <c r="A8" s="59"/>
      <c r="B8" s="140" t="str">
        <f>IF(Lang="Français","Nom",IF(Lang="English","Name",""))</f>
        <v>Nom</v>
      </c>
      <c r="C8" s="633" t="str">
        <f>Nom</f>
        <v>SP02</v>
      </c>
      <c r="D8" s="633"/>
      <c r="M8" s="75"/>
    </row>
    <row r="9" spans="1:13" ht="15.75" x14ac:dyDescent="0.25">
      <c r="A9" s="59"/>
      <c r="B9" s="140" t="s">
        <v>4</v>
      </c>
      <c r="C9" s="633" t="str">
        <f>Club</f>
        <v>L'AéroIPSA</v>
      </c>
      <c r="D9" s="633"/>
      <c r="M9" s="75"/>
    </row>
    <row r="10" spans="1:13" ht="15.75" x14ac:dyDescent="0.25">
      <c r="A10" s="59"/>
      <c r="B10" s="140" t="s">
        <v>563</v>
      </c>
      <c r="C10" s="662" t="str">
        <f>Matricule</f>
        <v>FX0</v>
      </c>
      <c r="D10" s="663"/>
      <c r="M10" s="75"/>
    </row>
    <row r="11" spans="1:13" x14ac:dyDescent="0.2">
      <c r="A11" s="59"/>
      <c r="B11" s="140" t="str">
        <f>IF(Lang="Français","Masse sans propu",IF(Lang="English","Mass without M",""))</f>
        <v>Masse sans propu</v>
      </c>
      <c r="C11" s="664">
        <f>MasseSans</f>
        <v>7.327</v>
      </c>
      <c r="D11" s="664"/>
      <c r="M11" s="75"/>
    </row>
    <row r="12" spans="1:13" x14ac:dyDescent="0.2">
      <c r="A12" s="59"/>
      <c r="B12" s="140" t="str">
        <f>IF(Lang="Français","Masse totale",IF(Lang="English","Total mass",""))</f>
        <v>Masse totale</v>
      </c>
      <c r="C12" s="667" t="str">
        <f ca="1">MassePlein &amp; " kg ±" &amp; MasseSans &amp; " kg"</f>
        <v>8,959 kg ±7,327 kg</v>
      </c>
      <c r="D12" s="667"/>
      <c r="M12" s="75"/>
    </row>
    <row r="13" spans="1:13" x14ac:dyDescent="0.2">
      <c r="A13" s="59"/>
      <c r="B13" s="227" t="str">
        <f>IF(Lang="Français","Propulseur",IF(Lang="English","Motor",""))</f>
        <v>Propulseur</v>
      </c>
      <c r="C13" s="610" t="str">
        <f>Propu</f>
        <v>Pro54-5G WT</v>
      </c>
      <c r="D13" s="611"/>
      <c r="M13" s="75"/>
    </row>
    <row r="14" spans="1:13" x14ac:dyDescent="0.2">
      <c r="A14" s="59"/>
      <c r="B14" s="1"/>
      <c r="C14" s="1"/>
      <c r="D14" s="1"/>
      <c r="M14" s="75"/>
    </row>
    <row r="15" spans="1:13" x14ac:dyDescent="0.2">
      <c r="A15" s="74"/>
      <c r="C15" s="612" t="str">
        <f>IF(Lang="Français","Traînée Aérdynamique",IF(Lang="English","Drag",""))</f>
        <v>Traînée Aérdynamique</v>
      </c>
      <c r="D15" s="612"/>
      <c r="M15" s="75"/>
    </row>
    <row r="16" spans="1:13" x14ac:dyDescent="0.2">
      <c r="A16" s="74"/>
      <c r="B16" s="139" t="str">
        <f>IF(Lang="Français","Diamètre Ø",IF(Lang="English","Diameter Ø",""))</f>
        <v>Diamètre Ø</v>
      </c>
      <c r="C16" s="665">
        <f>D_ref</f>
        <v>99</v>
      </c>
      <c r="D16" s="665"/>
      <c r="M16" s="75"/>
    </row>
    <row r="17" spans="1:13" x14ac:dyDescent="0.2">
      <c r="A17" s="74"/>
      <c r="B17" s="140" t="s">
        <v>5</v>
      </c>
      <c r="C17" s="666">
        <f>Cx</f>
        <v>0.7</v>
      </c>
      <c r="D17" s="666"/>
      <c r="M17" s="75"/>
    </row>
    <row r="18" spans="1:13" x14ac:dyDescent="0.2">
      <c r="A18" s="74"/>
      <c r="M18" s="75"/>
    </row>
    <row r="19" spans="1:13" x14ac:dyDescent="0.2">
      <c r="A19" s="74"/>
      <c r="M19" s="75"/>
    </row>
    <row r="20" spans="1:13" x14ac:dyDescent="0.2">
      <c r="A20" s="74"/>
      <c r="M20" s="75"/>
    </row>
    <row r="21" spans="1:13" x14ac:dyDescent="0.2">
      <c r="A21" s="74"/>
      <c r="M21" s="75"/>
    </row>
    <row r="22" spans="1:13" x14ac:dyDescent="0.2">
      <c r="A22" s="74"/>
      <c r="M22" s="75"/>
    </row>
    <row r="23" spans="1:13" x14ac:dyDescent="0.2">
      <c r="A23" s="74"/>
      <c r="M23" s="75"/>
    </row>
    <row r="24" spans="1:13" x14ac:dyDescent="0.2">
      <c r="A24" s="74"/>
      <c r="M24" s="75"/>
    </row>
    <row r="25" spans="1:13" x14ac:dyDescent="0.2">
      <c r="A25" s="74"/>
      <c r="M25" s="75"/>
    </row>
    <row r="26" spans="1:13" x14ac:dyDescent="0.2">
      <c r="A26" s="74"/>
      <c r="M26" s="75"/>
    </row>
    <row r="27" spans="1:13" x14ac:dyDescent="0.2">
      <c r="A27" s="74"/>
      <c r="M27" s="75"/>
    </row>
    <row r="28" spans="1:13" x14ac:dyDescent="0.2">
      <c r="A28" s="74"/>
      <c r="M28" s="75"/>
    </row>
    <row r="29" spans="1:13" x14ac:dyDescent="0.2">
      <c r="A29" s="74"/>
      <c r="M29" s="75"/>
    </row>
    <row r="30" spans="1:13" x14ac:dyDescent="0.2">
      <c r="A30" s="74"/>
      <c r="M30" s="75"/>
    </row>
    <row r="31" spans="1:13" x14ac:dyDescent="0.2">
      <c r="A31" s="74"/>
      <c r="M31" s="75"/>
    </row>
    <row r="32" spans="1:13" x14ac:dyDescent="0.2">
      <c r="A32" s="74"/>
      <c r="M32" s="75"/>
    </row>
    <row r="33" spans="1:13" x14ac:dyDescent="0.2">
      <c r="A33" s="74"/>
      <c r="M33" s="75"/>
    </row>
    <row r="34" spans="1:13" x14ac:dyDescent="0.2">
      <c r="A34" s="74"/>
      <c r="M34" s="75"/>
    </row>
    <row r="35" spans="1:13" x14ac:dyDescent="0.2">
      <c r="A35" s="74"/>
      <c r="M35" s="75"/>
    </row>
    <row r="36" spans="1:13" x14ac:dyDescent="0.2">
      <c r="A36" s="74"/>
      <c r="M36" s="75"/>
    </row>
    <row r="37" spans="1:13" ht="13.5" thickBot="1" x14ac:dyDescent="0.25">
      <c r="A37" s="77"/>
      <c r="B37" s="78"/>
      <c r="C37" s="78"/>
      <c r="D37" s="78"/>
      <c r="E37" s="78"/>
      <c r="F37" s="78"/>
      <c r="G37" s="78"/>
      <c r="H37" s="78"/>
      <c r="I37" s="78"/>
      <c r="J37" s="78"/>
      <c r="K37" s="78"/>
      <c r="L37" s="78"/>
      <c r="M37" s="79"/>
    </row>
    <row r="41" spans="1:13" x14ac:dyDescent="0.2">
      <c r="B41" s="419" t="s">
        <v>61</v>
      </c>
      <c r="C41" s="170" t="s">
        <v>285</v>
      </c>
      <c r="D41" s="134" t="s">
        <v>282</v>
      </c>
      <c r="E41" s="134" t="s">
        <v>286</v>
      </c>
      <c r="F41" s="134" t="s">
        <v>287</v>
      </c>
      <c r="G41" s="134" t="s">
        <v>13</v>
      </c>
      <c r="H41" s="134" t="s">
        <v>283</v>
      </c>
      <c r="I41" s="134" t="s">
        <v>284</v>
      </c>
      <c r="J41" s="134" t="s">
        <v>299</v>
      </c>
      <c r="K41" s="134" t="s">
        <v>300</v>
      </c>
      <c r="L41" s="134" t="s">
        <v>302</v>
      </c>
      <c r="M41" s="134" t="s">
        <v>290</v>
      </c>
    </row>
    <row r="42" spans="1:13" x14ac:dyDescent="0.2">
      <c r="B42" s="420" t="s">
        <v>291</v>
      </c>
      <c r="C42" s="170" t="s">
        <v>292</v>
      </c>
      <c r="D42" s="134" t="s">
        <v>293</v>
      </c>
      <c r="E42" s="134" t="s">
        <v>294</v>
      </c>
      <c r="F42" s="134" t="s">
        <v>295</v>
      </c>
      <c r="G42" s="134" t="s">
        <v>296</v>
      </c>
      <c r="H42" s="134" t="s">
        <v>297</v>
      </c>
      <c r="I42" s="134" t="s">
        <v>298</v>
      </c>
      <c r="J42" s="134" t="s">
        <v>288</v>
      </c>
      <c r="K42" s="134" t="s">
        <v>289</v>
      </c>
      <c r="L42" s="134"/>
      <c r="M42" s="134"/>
    </row>
    <row r="43" spans="1:13" x14ac:dyDescent="0.2">
      <c r="B43" s="425">
        <f t="shared" ref="B43:B51" ca="1" si="0">MAX(D_ref*0.5, Diam_propu)</f>
        <v>54</v>
      </c>
      <c r="C43" s="403">
        <f t="shared" ref="C43:C69" ca="1" si="1">1/2*Rho_moyen*PI()*D_var^2/4*Cx/10^6</f>
        <v>9.8193227281520882E-4</v>
      </c>
      <c r="D43" s="400">
        <f ca="1">MpropuPlein+0*MasseSans</f>
        <v>1.6319999999999999</v>
      </c>
      <c r="E43" s="400">
        <f t="shared" ref="E43:E69" ca="1" si="2">m_var - 0.5*m_poudre</f>
        <v>1.141</v>
      </c>
      <c r="F43" s="400">
        <f t="shared" ref="F43:F69" ca="1" si="3">m_var - m_poudre</f>
        <v>0.65</v>
      </c>
      <c r="G43" s="407">
        <f t="shared" ref="G43:G69" ca="1" si="4">MAX(0, (I_total/Temps_fin_propu)/m_prop-g)</f>
        <v>1020.3714198071864</v>
      </c>
      <c r="H43" s="406">
        <f t="shared" ref="H43:H69" ca="1" si="5">Q_var/m_prop</f>
        <v>8.6058919615706296E-4</v>
      </c>
      <c r="I43" s="403">
        <f t="shared" ref="I43:I69" ca="1" si="6">Q_var/m_bal</f>
        <v>1.5106650351003213E-3</v>
      </c>
      <c r="J43" s="403">
        <f t="shared" ref="J43:J69" ca="1" si="7">1/(2*b_prop)*LN(  ((EXP(2*SQRT(a_prop*b_prop)*Temps_fin_propu)+1)^2)  /  (((1+1)^2)*EXP(2*SQRT(a_prop*b_prop)*Temps_fin_propu)))</f>
        <v>1092.7312787053243</v>
      </c>
      <c r="K43" s="410">
        <f t="shared" ref="K43:K69" ca="1" si="8">SQRT(a_prop/b_prop)  *  (EXP(2*SQRT(a_prop*b_prop)*Temps_fin_propu)-1)/(EXP(2*SQRT(a_prop*b_prop)*Temps_fin_propu)+1)</f>
        <v>1002.4406316061013</v>
      </c>
      <c r="L43" s="413">
        <f t="shared" ref="L43:L69" ca="1" si="9">alt_prop + 1/(2*b_bal) * LN(1+b_bal/g*V_prop^2)</f>
        <v>2763.5913417554384</v>
      </c>
      <c r="M43" s="416">
        <f t="shared" ref="M43:M69" ca="1" si="10">Temps_fin_propu + ATAN(SQRT(b_bal/g)*V_prop)/SQRT(b_bal*g)</f>
        <v>13.944383064217877</v>
      </c>
    </row>
    <row r="44" spans="1:13" x14ac:dyDescent="0.2">
      <c r="B44" s="426">
        <f t="shared" ca="1" si="0"/>
        <v>54</v>
      </c>
      <c r="C44" s="404">
        <f t="shared" ca="1" si="1"/>
        <v>9.8193227281520882E-4</v>
      </c>
      <c r="D44" s="401">
        <f ca="1">MpropuPlein+0.25*MasseSans</f>
        <v>3.4637500000000001</v>
      </c>
      <c r="E44" s="401">
        <f t="shared" ca="1" si="2"/>
        <v>2.97275</v>
      </c>
      <c r="F44" s="401">
        <f t="shared" ca="1" si="3"/>
        <v>2.4817500000000003</v>
      </c>
      <c r="G44" s="408">
        <f t="shared" ca="1" si="4"/>
        <v>385.59391893028328</v>
      </c>
      <c r="H44" s="404">
        <f t="shared" ca="1" si="5"/>
        <v>3.3031108327817972E-4</v>
      </c>
      <c r="I44" s="404">
        <f t="shared" ca="1" si="6"/>
        <v>3.9566123614997832E-4</v>
      </c>
      <c r="J44" s="404">
        <f t="shared" ca="1" si="7"/>
        <v>526.02126415193561</v>
      </c>
      <c r="K44" s="411">
        <f t="shared" ca="1" si="8"/>
        <v>585.38791260444941</v>
      </c>
      <c r="L44" s="414">
        <f t="shared" ca="1" si="9"/>
        <v>3933.0400483019857</v>
      </c>
      <c r="M44" s="417">
        <f t="shared" ca="1" si="10"/>
        <v>22.695272906137781</v>
      </c>
    </row>
    <row r="45" spans="1:13" x14ac:dyDescent="0.2">
      <c r="B45" s="426">
        <f t="shared" ca="1" si="0"/>
        <v>54</v>
      </c>
      <c r="C45" s="404">
        <f t="shared" ca="1" si="1"/>
        <v>9.8193227281520882E-4</v>
      </c>
      <c r="D45" s="401">
        <f ca="1">MpropuPlein+0.5*MasseSans</f>
        <v>5.2954999999999997</v>
      </c>
      <c r="E45" s="401">
        <f t="shared" ca="1" si="2"/>
        <v>4.8045</v>
      </c>
      <c r="F45" s="401">
        <f t="shared" ca="1" si="3"/>
        <v>4.3134999999999994</v>
      </c>
      <c r="G45" s="408">
        <f t="shared" ca="1" si="4"/>
        <v>234.84334582162549</v>
      </c>
      <c r="H45" s="404">
        <f t="shared" ca="1" si="5"/>
        <v>2.0437761948490142E-4</v>
      </c>
      <c r="I45" s="404">
        <f t="shared" ca="1" si="6"/>
        <v>2.2764165360269131E-4</v>
      </c>
      <c r="J45" s="404">
        <f t="shared" ca="1" si="7"/>
        <v>331.78192520850962</v>
      </c>
      <c r="K45" s="411">
        <f t="shared" ca="1" si="8"/>
        <v>381.74413892664654</v>
      </c>
      <c r="L45" s="414">
        <f t="shared" ca="1" si="9"/>
        <v>3576.8454983807073</v>
      </c>
      <c r="M45" s="417">
        <f t="shared" ca="1" si="10"/>
        <v>24.400187669499253</v>
      </c>
    </row>
    <row r="46" spans="1:13" x14ac:dyDescent="0.2">
      <c r="B46" s="426">
        <f t="shared" ca="1" si="0"/>
        <v>54</v>
      </c>
      <c r="C46" s="404">
        <f t="shared" ca="1" si="1"/>
        <v>9.8193227281520882E-4</v>
      </c>
      <c r="D46" s="401">
        <f ca="1">MpropuPlein+0.75*MasseSans</f>
        <v>7.1272500000000001</v>
      </c>
      <c r="E46" s="401">
        <f t="shared" ca="1" si="2"/>
        <v>6.6362500000000004</v>
      </c>
      <c r="F46" s="401">
        <f t="shared" ca="1" si="3"/>
        <v>6.1452499999999999</v>
      </c>
      <c r="G46" s="408">
        <f t="shared" ca="1" si="4"/>
        <v>167.31367677528718</v>
      </c>
      <c r="H46" s="404">
        <f t="shared" ca="1" si="5"/>
        <v>1.4796493091960201E-4</v>
      </c>
      <c r="I46" s="404">
        <f t="shared" ca="1" si="6"/>
        <v>1.5978719707338332E-4</v>
      </c>
      <c r="J46" s="404">
        <f t="shared" ca="1" si="7"/>
        <v>238.93915573817608</v>
      </c>
      <c r="K46" s="411">
        <f t="shared" ca="1" si="8"/>
        <v>277.83852186974985</v>
      </c>
      <c r="L46" s="414">
        <f t="shared" ca="1" si="9"/>
        <v>2786.683155904489</v>
      </c>
      <c r="M46" s="417">
        <f t="shared" ca="1" si="10"/>
        <v>22.980304214306866</v>
      </c>
    </row>
    <row r="47" spans="1:13" x14ac:dyDescent="0.2">
      <c r="B47" s="426">
        <f t="shared" ca="1" si="0"/>
        <v>54</v>
      </c>
      <c r="C47" s="404">
        <f t="shared" ca="1" si="1"/>
        <v>9.8193227281520882E-4</v>
      </c>
      <c r="D47" s="401">
        <f ca="1">MpropuPlein+1*MasseSans</f>
        <v>8.9589999999999996</v>
      </c>
      <c r="E47" s="401">
        <f t="shared" ca="1" si="2"/>
        <v>8.468</v>
      </c>
      <c r="F47" s="401">
        <f t="shared" ca="1" si="3"/>
        <v>7.9769999999999994</v>
      </c>
      <c r="G47" s="408">
        <f t="shared" ca="1" si="4"/>
        <v>128.99928200283415</v>
      </c>
      <c r="H47" s="404">
        <f t="shared" ca="1" si="5"/>
        <v>1.1595799159367132E-4</v>
      </c>
      <c r="I47" s="404">
        <f t="shared" ca="1" si="6"/>
        <v>1.2309543347313639E-4</v>
      </c>
      <c r="J47" s="404">
        <f t="shared" ca="1" si="7"/>
        <v>185.07620237025907</v>
      </c>
      <c r="K47" s="411">
        <f t="shared" ca="1" si="8"/>
        <v>216.19238455241052</v>
      </c>
      <c r="L47" s="414">
        <f t="shared" ca="1" si="9"/>
        <v>2059.7117921330369</v>
      </c>
      <c r="M47" s="417">
        <f t="shared" ca="1" si="10"/>
        <v>20.507149256688038</v>
      </c>
    </row>
    <row r="48" spans="1:13" x14ac:dyDescent="0.2">
      <c r="B48" s="426">
        <f t="shared" ca="1" si="0"/>
        <v>54</v>
      </c>
      <c r="C48" s="404">
        <f t="shared" ca="1" si="1"/>
        <v>9.8193227281520882E-4</v>
      </c>
      <c r="D48" s="401">
        <f ca="1">MpropuPlein+1.25*MasseSans</f>
        <v>10.790749999999999</v>
      </c>
      <c r="E48" s="401">
        <f t="shared" ca="1" si="2"/>
        <v>10.29975</v>
      </c>
      <c r="F48" s="401">
        <f t="shared" ca="1" si="3"/>
        <v>9.8087499999999999</v>
      </c>
      <c r="G48" s="408">
        <f t="shared" ca="1" si="4"/>
        <v>104.31286705988006</v>
      </c>
      <c r="H48" s="404">
        <f t="shared" ca="1" si="5"/>
        <v>9.5335544339931441E-5</v>
      </c>
      <c r="I48" s="404">
        <f t="shared" ca="1" si="6"/>
        <v>1.0010778874119627E-4</v>
      </c>
      <c r="J48" s="404">
        <f t="shared" ca="1" si="7"/>
        <v>150.01556556287792</v>
      </c>
      <c r="K48" s="411">
        <f t="shared" ca="1" si="8"/>
        <v>175.65232535958751</v>
      </c>
      <c r="L48" s="414">
        <f t="shared" ca="1" si="9"/>
        <v>1517.1630771459058</v>
      </c>
      <c r="M48" s="417">
        <f t="shared" ca="1" si="10"/>
        <v>18.016979477264549</v>
      </c>
    </row>
    <row r="49" spans="2:13" x14ac:dyDescent="0.2">
      <c r="B49" s="426">
        <f t="shared" ca="1" si="0"/>
        <v>54</v>
      </c>
      <c r="C49" s="404">
        <f t="shared" ca="1" si="1"/>
        <v>9.8193227281520882E-4</v>
      </c>
      <c r="D49" s="401">
        <f ca="1">MpropuPlein+1.5*MasseSans</f>
        <v>12.6225</v>
      </c>
      <c r="E49" s="401">
        <f t="shared" ca="1" si="2"/>
        <v>12.131500000000001</v>
      </c>
      <c r="F49" s="401">
        <f t="shared" ca="1" si="3"/>
        <v>11.640500000000001</v>
      </c>
      <c r="G49" s="408">
        <f t="shared" ca="1" si="4"/>
        <v>87.081315995548735</v>
      </c>
      <c r="H49" s="404">
        <f t="shared" ca="1" si="5"/>
        <v>8.0940714076182564E-5</v>
      </c>
      <c r="I49" s="404">
        <f t="shared" ca="1" si="6"/>
        <v>8.4354819192922019E-5</v>
      </c>
      <c r="J49" s="404">
        <f t="shared" ca="1" si="7"/>
        <v>125.40760771226321</v>
      </c>
      <c r="K49" s="411">
        <f t="shared" ca="1" si="8"/>
        <v>147.04118345713357</v>
      </c>
      <c r="L49" s="414">
        <f t="shared" ca="1" si="9"/>
        <v>1136.1159034024433</v>
      </c>
      <c r="M49" s="417">
        <f t="shared" ca="1" si="10"/>
        <v>15.851596909242703</v>
      </c>
    </row>
    <row r="50" spans="2:13" x14ac:dyDescent="0.2">
      <c r="B50" s="426">
        <f t="shared" ca="1" si="0"/>
        <v>54</v>
      </c>
      <c r="C50" s="404">
        <f t="shared" ca="1" si="1"/>
        <v>9.8193227281520882E-4</v>
      </c>
      <c r="D50" s="401">
        <f ca="1">MpropuPlein+1.75*MasseSans</f>
        <v>14.45425</v>
      </c>
      <c r="E50" s="401">
        <f t="shared" ca="1" si="2"/>
        <v>13.96325</v>
      </c>
      <c r="F50" s="401">
        <f t="shared" ca="1" si="3"/>
        <v>13.472250000000001</v>
      </c>
      <c r="G50" s="408">
        <f t="shared" ca="1" si="4"/>
        <v>74.370760209836504</v>
      </c>
      <c r="H50" s="404">
        <f t="shared" ca="1" si="5"/>
        <v>7.0322616354731801E-5</v>
      </c>
      <c r="I50" s="404">
        <f t="shared" ca="1" si="6"/>
        <v>7.2885544197532609E-5</v>
      </c>
      <c r="J50" s="404">
        <f t="shared" ca="1" si="7"/>
        <v>107.19611866854319</v>
      </c>
      <c r="K50" s="411">
        <f t="shared" ca="1" si="8"/>
        <v>125.79714120829178</v>
      </c>
      <c r="L50" s="414">
        <f t="shared" ca="1" si="9"/>
        <v>869.7678059949294</v>
      </c>
      <c r="M50" s="417">
        <f t="shared" ca="1" si="10"/>
        <v>14.053514905089022</v>
      </c>
    </row>
    <row r="51" spans="2:13" x14ac:dyDescent="0.2">
      <c r="B51" s="427">
        <f t="shared" ca="1" si="0"/>
        <v>54</v>
      </c>
      <c r="C51" s="405">
        <f t="shared" ca="1" si="1"/>
        <v>9.8193227281520882E-4</v>
      </c>
      <c r="D51" s="402">
        <f ca="1">MpropuPlein+2*MasseSans</f>
        <v>16.286000000000001</v>
      </c>
      <c r="E51" s="402">
        <f t="shared" ca="1" si="2"/>
        <v>15.795000000000002</v>
      </c>
      <c r="F51" s="402">
        <f t="shared" ca="1" si="3"/>
        <v>15.304000000000002</v>
      </c>
      <c r="G51" s="409">
        <f t="shared" ca="1" si="4"/>
        <v>64.608296929408013</v>
      </c>
      <c r="H51" s="405">
        <f t="shared" ca="1" si="5"/>
        <v>6.2167285395074939E-5</v>
      </c>
      <c r="I51" s="405">
        <f t="shared" ca="1" si="6"/>
        <v>6.4161805594302717E-5</v>
      </c>
      <c r="J51" s="405">
        <f t="shared" ca="1" si="7"/>
        <v>93.178931543202182</v>
      </c>
      <c r="K51" s="412">
        <f t="shared" ca="1" si="8"/>
        <v>109.41109315288004</v>
      </c>
      <c r="L51" s="415">
        <f t="shared" ca="1" si="9"/>
        <v>680.60367157265591</v>
      </c>
      <c r="M51" s="418">
        <f t="shared" ca="1" si="10"/>
        <v>12.574896675225524</v>
      </c>
    </row>
    <row r="52" spans="2:13" x14ac:dyDescent="0.2">
      <c r="B52" s="425">
        <f t="shared" ref="B52:B60" si="11">D_ref</f>
        <v>99</v>
      </c>
      <c r="C52" s="403">
        <f t="shared" si="1"/>
        <v>3.3003834725177849E-3</v>
      </c>
      <c r="D52" s="400">
        <f ca="1">MpropuPlein+0*MasseSans</f>
        <v>1.6319999999999999</v>
      </c>
      <c r="E52" s="400">
        <f t="shared" ca="1" si="2"/>
        <v>1.141</v>
      </c>
      <c r="F52" s="400">
        <f t="shared" ca="1" si="3"/>
        <v>0.65</v>
      </c>
      <c r="G52" s="407">
        <f t="shared" ca="1" si="4"/>
        <v>1020.3714198071864</v>
      </c>
      <c r="H52" s="403">
        <f t="shared" ca="1" si="5"/>
        <v>2.8925359093056836E-3</v>
      </c>
      <c r="I52" s="403">
        <f t="shared" ca="1" si="6"/>
        <v>5.0775130346427458E-3</v>
      </c>
      <c r="J52" s="403">
        <f t="shared" ca="1" si="7"/>
        <v>771.06145890577397</v>
      </c>
      <c r="K52" s="410">
        <f t="shared" ca="1" si="8"/>
        <v>590.49474934968862</v>
      </c>
      <c r="L52" s="413">
        <f t="shared" ca="1" si="9"/>
        <v>1283.2325904559127</v>
      </c>
      <c r="M52" s="416">
        <f t="shared" ca="1" si="10"/>
        <v>8.4052570892024328</v>
      </c>
    </row>
    <row r="53" spans="2:13" x14ac:dyDescent="0.2">
      <c r="B53" s="426">
        <f t="shared" si="11"/>
        <v>99</v>
      </c>
      <c r="C53" s="404">
        <f t="shared" si="1"/>
        <v>3.3003834725177849E-3</v>
      </c>
      <c r="D53" s="401">
        <f ca="1">MpropuPlein+0.25*MasseSans</f>
        <v>3.4637500000000001</v>
      </c>
      <c r="E53" s="401">
        <f t="shared" ca="1" si="2"/>
        <v>2.97275</v>
      </c>
      <c r="F53" s="401">
        <f t="shared" ca="1" si="3"/>
        <v>2.4817500000000003</v>
      </c>
      <c r="G53" s="408">
        <f t="shared" ca="1" si="4"/>
        <v>385.59391893028328</v>
      </c>
      <c r="H53" s="404">
        <f t="shared" ca="1" si="5"/>
        <v>1.1102122521294373E-3</v>
      </c>
      <c r="I53" s="404">
        <f t="shared" ca="1" si="6"/>
        <v>1.3298613770596492E-3</v>
      </c>
      <c r="J53" s="404">
        <f t="shared" ca="1" si="7"/>
        <v>469.99943342617667</v>
      </c>
      <c r="K53" s="411">
        <f t="shared" ca="1" si="8"/>
        <v>474.3375773813608</v>
      </c>
      <c r="L53" s="414">
        <f t="shared" ca="1" si="9"/>
        <v>1767.1329811640717</v>
      </c>
      <c r="M53" s="417">
        <f t="shared" ca="1" si="10"/>
        <v>13.884228404308445</v>
      </c>
    </row>
    <row r="54" spans="2:13" x14ac:dyDescent="0.2">
      <c r="B54" s="426">
        <f t="shared" si="11"/>
        <v>99</v>
      </c>
      <c r="C54" s="404">
        <f t="shared" si="1"/>
        <v>3.3003834725177849E-3</v>
      </c>
      <c r="D54" s="401">
        <f ca="1">MpropuPlein+0.5*MasseSans</f>
        <v>5.2954999999999997</v>
      </c>
      <c r="E54" s="401">
        <f t="shared" ca="1" si="2"/>
        <v>4.8045</v>
      </c>
      <c r="F54" s="401">
        <f t="shared" ca="1" si="3"/>
        <v>4.3134999999999994</v>
      </c>
      <c r="G54" s="408">
        <f t="shared" ca="1" si="4"/>
        <v>234.84334582162549</v>
      </c>
      <c r="H54" s="404">
        <f t="shared" ca="1" si="5"/>
        <v>6.869358877131408E-4</v>
      </c>
      <c r="I54" s="404">
        <f t="shared" ca="1" si="6"/>
        <v>7.6512889127571242E-4</v>
      </c>
      <c r="J54" s="404">
        <f t="shared" ca="1" si="7"/>
        <v>315.85496306703357</v>
      </c>
      <c r="K54" s="411">
        <f t="shared" ca="1" si="8"/>
        <v>346.92387547298608</v>
      </c>
      <c r="L54" s="414">
        <f t="shared" ca="1" si="9"/>
        <v>1845.381516497242</v>
      </c>
      <c r="M54" s="417">
        <f t="shared" ca="1" si="10"/>
        <v>16.189363251655909</v>
      </c>
    </row>
    <row r="55" spans="2:13" x14ac:dyDescent="0.2">
      <c r="B55" s="426">
        <f t="shared" si="11"/>
        <v>99</v>
      </c>
      <c r="C55" s="404">
        <f t="shared" si="1"/>
        <v>3.3003834725177849E-3</v>
      </c>
      <c r="D55" s="401">
        <f ca="1">MpropuPlein+0.75*MasseSans</f>
        <v>7.1272500000000001</v>
      </c>
      <c r="E55" s="401">
        <f t="shared" ca="1" si="2"/>
        <v>6.6362500000000004</v>
      </c>
      <c r="F55" s="401">
        <f t="shared" ca="1" si="3"/>
        <v>6.1452499999999999</v>
      </c>
      <c r="G55" s="408">
        <f t="shared" ca="1" si="4"/>
        <v>167.31367677528718</v>
      </c>
      <c r="H55" s="404">
        <f t="shared" ca="1" si="5"/>
        <v>4.973265733686622E-4</v>
      </c>
      <c r="I55" s="404">
        <f t="shared" ca="1" si="6"/>
        <v>5.3706252349664939E-4</v>
      </c>
      <c r="J55" s="404">
        <f t="shared" ca="1" si="7"/>
        <v>232.65766113541071</v>
      </c>
      <c r="K55" s="411">
        <f t="shared" ca="1" si="8"/>
        <v>263.6321019281317</v>
      </c>
      <c r="L55" s="414">
        <f t="shared" ca="1" si="9"/>
        <v>1693.9893469486633</v>
      </c>
      <c r="M55" s="417">
        <f t="shared" ca="1" si="10"/>
        <v>16.814379671570283</v>
      </c>
    </row>
    <row r="56" spans="2:13" x14ac:dyDescent="0.2">
      <c r="B56" s="426">
        <f t="shared" si="11"/>
        <v>99</v>
      </c>
      <c r="C56" s="404">
        <f t="shared" si="1"/>
        <v>3.3003834725177849E-3</v>
      </c>
      <c r="D56" s="401">
        <f ca="1">MpropuPlein+1*MasseSans</f>
        <v>8.9589999999999996</v>
      </c>
      <c r="E56" s="401">
        <f t="shared" ca="1" si="2"/>
        <v>8.468</v>
      </c>
      <c r="F56" s="401">
        <f t="shared" ca="1" si="3"/>
        <v>7.9769999999999994</v>
      </c>
      <c r="G56" s="408">
        <f t="shared" ca="1" si="4"/>
        <v>128.99928200283415</v>
      </c>
      <c r="H56" s="404">
        <f t="shared" ca="1" si="5"/>
        <v>3.897476939676175E-4</v>
      </c>
      <c r="I56" s="404">
        <f t="shared" ca="1" si="6"/>
        <v>4.1373742917359723E-4</v>
      </c>
      <c r="J56" s="404">
        <f t="shared" ca="1" si="7"/>
        <v>182.05738740012151</v>
      </c>
      <c r="K56" s="411">
        <f t="shared" ca="1" si="8"/>
        <v>209.26036876079667</v>
      </c>
      <c r="L56" s="414">
        <f t="shared" ca="1" si="9"/>
        <v>1446.3983524313728</v>
      </c>
      <c r="M56" s="417">
        <f t="shared" ca="1" si="10"/>
        <v>16.398486166913003</v>
      </c>
    </row>
    <row r="57" spans="2:13" x14ac:dyDescent="0.2">
      <c r="B57" s="426">
        <f t="shared" si="11"/>
        <v>99</v>
      </c>
      <c r="C57" s="404">
        <f t="shared" si="1"/>
        <v>3.3003834725177849E-3</v>
      </c>
      <c r="D57" s="401">
        <f ca="1">MpropuPlein+1.25*MasseSans</f>
        <v>10.790749999999999</v>
      </c>
      <c r="E57" s="401">
        <f t="shared" ca="1" si="2"/>
        <v>10.29975</v>
      </c>
      <c r="F57" s="401">
        <f t="shared" ca="1" si="3"/>
        <v>9.8087499999999999</v>
      </c>
      <c r="G57" s="408">
        <f t="shared" ca="1" si="4"/>
        <v>104.31286705988006</v>
      </c>
      <c r="H57" s="404">
        <f t="shared" ca="1" si="5"/>
        <v>3.2043335736476952E-4</v>
      </c>
      <c r="I57" s="404">
        <f t="shared" ca="1" si="6"/>
        <v>3.3647340104679853E-4</v>
      </c>
      <c r="J57" s="404">
        <f t="shared" ca="1" si="7"/>
        <v>148.36606215979975</v>
      </c>
      <c r="K57" s="411">
        <f t="shared" ca="1" si="8"/>
        <v>171.83416830796256</v>
      </c>
      <c r="L57" s="414">
        <f t="shared" ca="1" si="9"/>
        <v>1187.82451561178</v>
      </c>
      <c r="M57" s="417">
        <f t="shared" ca="1" si="10"/>
        <v>15.425476476209855</v>
      </c>
    </row>
    <row r="58" spans="2:13" x14ac:dyDescent="0.2">
      <c r="B58" s="426">
        <f t="shared" si="11"/>
        <v>99</v>
      </c>
      <c r="C58" s="404">
        <f t="shared" si="1"/>
        <v>3.3003834725177849E-3</v>
      </c>
      <c r="D58" s="401">
        <f ca="1">MpropuPlein+1.5*MasseSans</f>
        <v>12.6225</v>
      </c>
      <c r="E58" s="401">
        <f t="shared" ca="1" si="2"/>
        <v>12.131500000000001</v>
      </c>
      <c r="F58" s="401">
        <f t="shared" ca="1" si="3"/>
        <v>11.640500000000001</v>
      </c>
      <c r="G58" s="408">
        <f t="shared" ca="1" si="4"/>
        <v>87.081315995548735</v>
      </c>
      <c r="H58" s="404">
        <f t="shared" ca="1" si="5"/>
        <v>2.7205073342272471E-4</v>
      </c>
      <c r="I58" s="404">
        <f t="shared" ca="1" si="6"/>
        <v>2.83525920065099E-4</v>
      </c>
      <c r="J58" s="404">
        <f t="shared" ca="1" si="7"/>
        <v>124.42231661627514</v>
      </c>
      <c r="K58" s="411">
        <f t="shared" ca="1" si="8"/>
        <v>144.74975581003804</v>
      </c>
      <c r="L58" s="414">
        <f t="shared" ca="1" si="9"/>
        <v>959.3981244831416</v>
      </c>
      <c r="M58" s="417">
        <f t="shared" ca="1" si="10"/>
        <v>14.239010559555599</v>
      </c>
    </row>
    <row r="59" spans="2:13" x14ac:dyDescent="0.2">
      <c r="B59" s="426">
        <f t="shared" si="11"/>
        <v>99</v>
      </c>
      <c r="C59" s="404">
        <f t="shared" si="1"/>
        <v>3.3003834725177849E-3</v>
      </c>
      <c r="D59" s="401">
        <f ca="1">MpropuPlein+1.75*MasseSans</f>
        <v>14.45425</v>
      </c>
      <c r="E59" s="401">
        <f t="shared" ca="1" si="2"/>
        <v>13.96325</v>
      </c>
      <c r="F59" s="401">
        <f t="shared" ca="1" si="3"/>
        <v>13.472250000000001</v>
      </c>
      <c r="G59" s="408">
        <f t="shared" ca="1" si="4"/>
        <v>74.370760209836504</v>
      </c>
      <c r="H59" s="404">
        <f t="shared" ca="1" si="5"/>
        <v>2.3636212719229296E-4</v>
      </c>
      <c r="I59" s="404">
        <f t="shared" ca="1" si="6"/>
        <v>2.4497641244170681E-4</v>
      </c>
      <c r="J59" s="404">
        <f t="shared" ca="1" si="7"/>
        <v>106.56798157813876</v>
      </c>
      <c r="K59" s="411">
        <f t="shared" ca="1" si="8"/>
        <v>124.33196498744194</v>
      </c>
      <c r="L59" s="414">
        <f t="shared" ca="1" si="9"/>
        <v>772.84318477252043</v>
      </c>
      <c r="M59" s="417">
        <f t="shared" ca="1" si="10"/>
        <v>13.040549088567106</v>
      </c>
    </row>
    <row r="60" spans="2:13" x14ac:dyDescent="0.2">
      <c r="B60" s="427">
        <f t="shared" si="11"/>
        <v>99</v>
      </c>
      <c r="C60" s="405">
        <f t="shared" si="1"/>
        <v>3.3003834725177849E-3</v>
      </c>
      <c r="D60" s="402">
        <f ca="1">MpropuPlein+2*MasseSans</f>
        <v>16.286000000000001</v>
      </c>
      <c r="E60" s="402">
        <f t="shared" ca="1" si="2"/>
        <v>15.795000000000002</v>
      </c>
      <c r="F60" s="402">
        <f t="shared" ca="1" si="3"/>
        <v>15.304000000000002</v>
      </c>
      <c r="G60" s="409">
        <f t="shared" ca="1" si="4"/>
        <v>64.608296929408013</v>
      </c>
      <c r="H60" s="405">
        <f t="shared" ca="1" si="5"/>
        <v>2.0895115368900187E-4</v>
      </c>
      <c r="I60" s="405">
        <f t="shared" ca="1" si="6"/>
        <v>2.1565495769196186E-4</v>
      </c>
      <c r="J60" s="405">
        <f t="shared" ca="1" si="7"/>
        <v>92.758165250008318</v>
      </c>
      <c r="K60" s="412">
        <f t="shared" ca="1" si="8"/>
        <v>108.42765943573113</v>
      </c>
      <c r="L60" s="415">
        <f t="shared" ca="1" si="9"/>
        <v>625.73455177255221</v>
      </c>
      <c r="M60" s="418">
        <f t="shared" ca="1" si="10"/>
        <v>11.925508775370169</v>
      </c>
    </row>
    <row r="61" spans="2:13" x14ac:dyDescent="0.2">
      <c r="B61" s="425">
        <f t="shared" ref="B61:B69" si="12">D_ref*1.5</f>
        <v>148.5</v>
      </c>
      <c r="C61" s="403">
        <f t="shared" si="1"/>
        <v>7.4258628131650163E-3</v>
      </c>
      <c r="D61" s="400">
        <f ca="1">MpropuPlein+0*MasseSans</f>
        <v>1.6319999999999999</v>
      </c>
      <c r="E61" s="400">
        <f t="shared" ca="1" si="2"/>
        <v>1.141</v>
      </c>
      <c r="F61" s="400">
        <f t="shared" ca="1" si="3"/>
        <v>0.65</v>
      </c>
      <c r="G61" s="407">
        <f t="shared" ca="1" si="4"/>
        <v>1020.3714198071864</v>
      </c>
      <c r="H61" s="403">
        <f t="shared" ca="1" si="5"/>
        <v>6.5082057959377883E-3</v>
      </c>
      <c r="I61" s="403">
        <f t="shared" ca="1" si="6"/>
        <v>1.1424404327946178E-2</v>
      </c>
      <c r="J61" s="403">
        <f t="shared" ca="1" si="7"/>
        <v>566.64813074656661</v>
      </c>
      <c r="K61" s="410">
        <f t="shared" ca="1" si="8"/>
        <v>395.83342877308831</v>
      </c>
      <c r="L61" s="413">
        <f t="shared" ca="1" si="9"/>
        <v>794.75834496934203</v>
      </c>
      <c r="M61" s="416">
        <f t="shared" ca="1" si="10"/>
        <v>6.1713838175324387</v>
      </c>
    </row>
    <row r="62" spans="2:13" x14ac:dyDescent="0.2">
      <c r="B62" s="426">
        <f t="shared" si="12"/>
        <v>148.5</v>
      </c>
      <c r="C62" s="404">
        <f t="shared" si="1"/>
        <v>7.4258628131650163E-3</v>
      </c>
      <c r="D62" s="401">
        <f ca="1">MpropuPlein+0.25*MasseSans</f>
        <v>3.4637500000000001</v>
      </c>
      <c r="E62" s="401">
        <f t="shared" ca="1" si="2"/>
        <v>2.97275</v>
      </c>
      <c r="F62" s="401">
        <f t="shared" ca="1" si="3"/>
        <v>2.4817500000000003</v>
      </c>
      <c r="G62" s="408">
        <f t="shared" ca="1" si="4"/>
        <v>385.59391893028328</v>
      </c>
      <c r="H62" s="404">
        <f t="shared" ca="1" si="5"/>
        <v>2.4979775672912341E-3</v>
      </c>
      <c r="I62" s="404">
        <f t="shared" ca="1" si="6"/>
        <v>2.9921880983842107E-3</v>
      </c>
      <c r="J62" s="404">
        <f t="shared" ca="1" si="7"/>
        <v>404.41315505150834</v>
      </c>
      <c r="K62" s="411">
        <f t="shared" ca="1" si="8"/>
        <v>365.91559655296919</v>
      </c>
      <c r="L62" s="414">
        <f t="shared" ca="1" si="9"/>
        <v>1028.3451555677186</v>
      </c>
      <c r="M62" s="417">
        <f t="shared" ca="1" si="10"/>
        <v>9.9623564139772949</v>
      </c>
    </row>
    <row r="63" spans="2:13" x14ac:dyDescent="0.2">
      <c r="B63" s="426">
        <f t="shared" si="12"/>
        <v>148.5</v>
      </c>
      <c r="C63" s="404">
        <f t="shared" si="1"/>
        <v>7.4258628131650163E-3</v>
      </c>
      <c r="D63" s="401">
        <f ca="1">MpropuPlein+0.5*MasseSans</f>
        <v>5.2954999999999997</v>
      </c>
      <c r="E63" s="401">
        <f t="shared" ca="1" si="2"/>
        <v>4.8045</v>
      </c>
      <c r="F63" s="401">
        <f t="shared" ca="1" si="3"/>
        <v>4.3134999999999994</v>
      </c>
      <c r="G63" s="408">
        <f t="shared" ca="1" si="4"/>
        <v>234.84334582162549</v>
      </c>
      <c r="H63" s="404">
        <f t="shared" ca="1" si="5"/>
        <v>1.5456057473545669E-3</v>
      </c>
      <c r="I63" s="404">
        <f t="shared" ca="1" si="6"/>
        <v>1.721540005370353E-3</v>
      </c>
      <c r="J63" s="404">
        <f t="shared" ca="1" si="7"/>
        <v>292.66046083035405</v>
      </c>
      <c r="K63" s="411">
        <f t="shared" ca="1" si="8"/>
        <v>300.75819796849851</v>
      </c>
      <c r="L63" s="414">
        <f t="shared" ca="1" si="9"/>
        <v>1113.3694725818391</v>
      </c>
      <c r="M63" s="417">
        <f t="shared" ca="1" si="10"/>
        <v>11.894950467601843</v>
      </c>
    </row>
    <row r="64" spans="2:13" x14ac:dyDescent="0.2">
      <c r="B64" s="426">
        <f t="shared" si="12"/>
        <v>148.5</v>
      </c>
      <c r="C64" s="404">
        <f t="shared" si="1"/>
        <v>7.4258628131650163E-3</v>
      </c>
      <c r="D64" s="401">
        <f ca="1">MpropuPlein+0.75*MasseSans</f>
        <v>7.1272500000000001</v>
      </c>
      <c r="E64" s="401">
        <f t="shared" ca="1" si="2"/>
        <v>6.6362500000000004</v>
      </c>
      <c r="F64" s="401">
        <f t="shared" ca="1" si="3"/>
        <v>6.1452499999999999</v>
      </c>
      <c r="G64" s="408">
        <f t="shared" ca="1" si="4"/>
        <v>167.31367677528718</v>
      </c>
      <c r="H64" s="404">
        <f t="shared" ca="1" si="5"/>
        <v>1.1189847900794901E-3</v>
      </c>
      <c r="I64" s="404">
        <f t="shared" ca="1" si="6"/>
        <v>1.2083906778674613E-3</v>
      </c>
      <c r="J64" s="404">
        <f t="shared" ca="1" si="7"/>
        <v>222.6717332554031</v>
      </c>
      <c r="K64" s="411">
        <f t="shared" ca="1" si="8"/>
        <v>242.24217139001044</v>
      </c>
      <c r="L64" s="414">
        <f t="shared" ca="1" si="9"/>
        <v>1094.7335968917505</v>
      </c>
      <c r="M64" s="417">
        <f t="shared" ca="1" si="10"/>
        <v>12.856619177925447</v>
      </c>
    </row>
    <row r="65" spans="2:13" x14ac:dyDescent="0.2">
      <c r="B65" s="426">
        <f t="shared" si="12"/>
        <v>148.5</v>
      </c>
      <c r="C65" s="404">
        <f t="shared" si="1"/>
        <v>7.4258628131650163E-3</v>
      </c>
      <c r="D65" s="401">
        <f ca="1">MpropuPlein+1*MasseSans</f>
        <v>8.9589999999999996</v>
      </c>
      <c r="E65" s="401">
        <f t="shared" ca="1" si="2"/>
        <v>8.468</v>
      </c>
      <c r="F65" s="401">
        <f t="shared" ca="1" si="3"/>
        <v>7.9769999999999994</v>
      </c>
      <c r="G65" s="408">
        <f t="shared" ca="1" si="4"/>
        <v>128.99928200283415</v>
      </c>
      <c r="H65" s="404">
        <f t="shared" ca="1" si="5"/>
        <v>8.7693231142713937E-4</v>
      </c>
      <c r="I65" s="404">
        <f t="shared" ca="1" si="6"/>
        <v>9.3090921564059376E-4</v>
      </c>
      <c r="J65" s="404">
        <f t="shared" ca="1" si="7"/>
        <v>177.05318779970381</v>
      </c>
      <c r="K65" s="411">
        <f t="shared" ca="1" si="8"/>
        <v>198.16054970320241</v>
      </c>
      <c r="L65" s="414">
        <f t="shared" ca="1" si="9"/>
        <v>1011.255586480562</v>
      </c>
      <c r="M65" s="417">
        <f t="shared" ca="1" si="10"/>
        <v>13.135647800847757</v>
      </c>
    </row>
    <row r="66" spans="2:13" x14ac:dyDescent="0.2">
      <c r="B66" s="426">
        <f t="shared" si="12"/>
        <v>148.5</v>
      </c>
      <c r="C66" s="404">
        <f t="shared" si="1"/>
        <v>7.4258628131650163E-3</v>
      </c>
      <c r="D66" s="401">
        <f ca="1">MpropuPlein+1.25*MasseSans</f>
        <v>10.790749999999999</v>
      </c>
      <c r="E66" s="401">
        <f t="shared" ca="1" si="2"/>
        <v>10.29975</v>
      </c>
      <c r="F66" s="401">
        <f t="shared" ca="1" si="3"/>
        <v>9.8087499999999999</v>
      </c>
      <c r="G66" s="408">
        <f t="shared" ca="1" si="4"/>
        <v>104.31286705988006</v>
      </c>
      <c r="H66" s="404">
        <f t="shared" ca="1" si="5"/>
        <v>7.2097505407073151E-4</v>
      </c>
      <c r="I66" s="404">
        <f t="shared" ca="1" si="6"/>
        <v>7.5706515235529669E-4</v>
      </c>
      <c r="J66" s="404">
        <f t="shared" ca="1" si="7"/>
        <v>145.56883083413749</v>
      </c>
      <c r="K66" s="411">
        <f t="shared" ca="1" si="8"/>
        <v>165.51093855355373</v>
      </c>
      <c r="L66" s="414">
        <f t="shared" ca="1" si="9"/>
        <v>895.78687542970351</v>
      </c>
      <c r="M66" s="417">
        <f t="shared" ca="1" si="10"/>
        <v>12.93624758100991</v>
      </c>
    </row>
    <row r="67" spans="2:13" x14ac:dyDescent="0.2">
      <c r="B67" s="426">
        <f t="shared" si="12"/>
        <v>148.5</v>
      </c>
      <c r="C67" s="404">
        <f t="shared" si="1"/>
        <v>7.4258628131650163E-3</v>
      </c>
      <c r="D67" s="401">
        <f ca="1">MpropuPlein+1.5*MasseSans</f>
        <v>12.6225</v>
      </c>
      <c r="E67" s="401">
        <f t="shared" ca="1" si="2"/>
        <v>12.131500000000001</v>
      </c>
      <c r="F67" s="401">
        <f t="shared" ca="1" si="3"/>
        <v>11.640500000000001</v>
      </c>
      <c r="G67" s="408">
        <f t="shared" ca="1" si="4"/>
        <v>87.081315995548735</v>
      </c>
      <c r="H67" s="404">
        <f t="shared" ca="1" si="5"/>
        <v>6.1211415020113059E-4</v>
      </c>
      <c r="I67" s="404">
        <f t="shared" ca="1" si="6"/>
        <v>6.3793332014647273E-4</v>
      </c>
      <c r="J67" s="404">
        <f t="shared" ca="1" si="7"/>
        <v>122.72860368808415</v>
      </c>
      <c r="K67" s="411">
        <f t="shared" ca="1" si="8"/>
        <v>140.87750313298369</v>
      </c>
      <c r="L67" s="414">
        <f t="shared" ca="1" si="9"/>
        <v>772.33496078442511</v>
      </c>
      <c r="M67" s="417">
        <f t="shared" ca="1" si="10"/>
        <v>12.432139991406961</v>
      </c>
    </row>
    <row r="68" spans="2:13" x14ac:dyDescent="0.2">
      <c r="B68" s="426">
        <f t="shared" si="12"/>
        <v>148.5</v>
      </c>
      <c r="C68" s="404">
        <f t="shared" si="1"/>
        <v>7.4258628131650163E-3</v>
      </c>
      <c r="D68" s="401">
        <f ca="1">MpropuPlein+1.75*MasseSans</f>
        <v>14.45425</v>
      </c>
      <c r="E68" s="401">
        <f t="shared" ca="1" si="2"/>
        <v>13.96325</v>
      </c>
      <c r="F68" s="401">
        <f t="shared" ca="1" si="3"/>
        <v>13.472250000000001</v>
      </c>
      <c r="G68" s="408">
        <f t="shared" ca="1" si="4"/>
        <v>74.370760209836504</v>
      </c>
      <c r="H68" s="404">
        <f t="shared" ca="1" si="5"/>
        <v>5.3181478618265915E-4</v>
      </c>
      <c r="I68" s="404">
        <f t="shared" ca="1" si="6"/>
        <v>5.5119692799384041E-4</v>
      </c>
      <c r="J68" s="404">
        <f t="shared" ca="1" si="7"/>
        <v>105.47877419629869</v>
      </c>
      <c r="K68" s="411">
        <f t="shared" ca="1" si="8"/>
        <v>121.8236488436041</v>
      </c>
      <c r="L68" s="414">
        <f t="shared" ca="1" si="9"/>
        <v>655.58275631010883</v>
      </c>
      <c r="M68" s="417">
        <f t="shared" ca="1" si="10"/>
        <v>11.76395775839482</v>
      </c>
    </row>
    <row r="69" spans="2:13" x14ac:dyDescent="0.2">
      <c r="B69" s="427">
        <f t="shared" si="12"/>
        <v>148.5</v>
      </c>
      <c r="C69" s="405">
        <f t="shared" si="1"/>
        <v>7.4258628131650163E-3</v>
      </c>
      <c r="D69" s="402">
        <f ca="1">MpropuPlein+2*MasseSans</f>
        <v>16.286000000000001</v>
      </c>
      <c r="E69" s="402">
        <f t="shared" ca="1" si="2"/>
        <v>15.795000000000002</v>
      </c>
      <c r="F69" s="402">
        <f t="shared" ca="1" si="3"/>
        <v>15.304000000000002</v>
      </c>
      <c r="G69" s="409">
        <f t="shared" ca="1" si="4"/>
        <v>64.608296929408013</v>
      </c>
      <c r="H69" s="405">
        <f t="shared" ca="1" si="5"/>
        <v>4.7014009580025425E-4</v>
      </c>
      <c r="I69" s="405">
        <f t="shared" ca="1" si="6"/>
        <v>4.8522365480691422E-4</v>
      </c>
      <c r="J69" s="405">
        <f t="shared" ca="1" si="7"/>
        <v>92.024236650807197</v>
      </c>
      <c r="K69" s="412">
        <f t="shared" ca="1" si="8"/>
        <v>106.72920509783863</v>
      </c>
      <c r="L69" s="415">
        <f t="shared" ca="1" si="9"/>
        <v>552.51471270797163</v>
      </c>
      <c r="M69" s="418">
        <f t="shared" ca="1" si="10"/>
        <v>11.032782975531063</v>
      </c>
    </row>
    <row r="73" spans="2:13" x14ac:dyDescent="0.2">
      <c r="B73" s="24" t="str">
        <f>IF(Lang="Français","Textes pour les graphiques :","Texts for graphics :")</f>
        <v>Textes pour les graphiques :</v>
      </c>
    </row>
    <row r="75" spans="2:13" x14ac:dyDescent="0.2">
      <c r="B75" t="str">
        <f>IF(Lang="Français","Masse totale",IF(Lang="English","Total Mass",""))</f>
        <v>Masse totale</v>
      </c>
    </row>
    <row r="76" spans="2:13" x14ac:dyDescent="0.2">
      <c r="B76" t="str">
        <f>IF(Lang="Français","Vitesse max",IF(Lang="English","Max Velocity",""))</f>
        <v>Vitesse max</v>
      </c>
    </row>
    <row r="77" spans="2:13" x14ac:dyDescent="0.2">
      <c r="B77" t="str">
        <f>Abaco!$B$76 &amp; " / " &amp; Abaco!$B$75</f>
        <v>Vitesse max / Masse totale</v>
      </c>
    </row>
    <row r="78" spans="2:13" x14ac:dyDescent="0.2">
      <c r="B78" t="str">
        <f>IF(Lang="Français","Altitude max",IF(Lang="English","Max Altitude",""))</f>
        <v>Altitude max</v>
      </c>
    </row>
    <row r="79" spans="2:13" x14ac:dyDescent="0.2">
      <c r="B79" t="str">
        <f>Abaco!$B$78 &amp; " / " &amp; Abaco!$B$75</f>
        <v>Altitude max / Masse totale</v>
      </c>
    </row>
    <row r="80" spans="2:13" x14ac:dyDescent="0.2">
      <c r="B80" t="str">
        <f>IF(Lang="Français","Temps de culmination",IF(Lang="English","Apogee time",""))</f>
        <v>Temps de culmination</v>
      </c>
    </row>
    <row r="81" spans="2:2" x14ac:dyDescent="0.2">
      <c r="B81" t="str">
        <f>Abaco!$B$80 &amp; " / " &amp; Abaco!$B$75</f>
        <v>Temps de culmination / Masse totale</v>
      </c>
    </row>
  </sheetData>
  <sheetProtection algorithmName="SHA-512" hashValue="+PTrTvch0rD/oo5wbJAiLSXEwsZuHYCw11E5jJpN7UFv8bqEgAVA+seu72dez5dZDB7fUdwejfBNAFZdr7g5pg==" saltValue="gnM8LKYZzdY29Fufgy5vJQ==" spinCount="100000" sheet="1"/>
  <mergeCells count="13">
    <mergeCell ref="C11:D11"/>
    <mergeCell ref="C13:D13"/>
    <mergeCell ref="C15:D15"/>
    <mergeCell ref="C16:D16"/>
    <mergeCell ref="C17:D17"/>
    <mergeCell ref="C12:D12"/>
    <mergeCell ref="C10:D10"/>
    <mergeCell ref="C9:D9"/>
    <mergeCell ref="C2:D3"/>
    <mergeCell ref="C4:D4"/>
    <mergeCell ref="C5:D5"/>
    <mergeCell ref="C7:D7"/>
    <mergeCell ref="C8:D8"/>
  </mergeCells>
  <dataValidations count="3">
    <dataValidation type="decimal" errorStyle="warning" showErrorMessage="1" errorTitle="Cx" error="Le Cx est souvent compris entre 0 et 1._x000a_Cx may be between 0 &amp; 1." sqref="C17:D17" xr:uid="{00000000-0002-0000-0500-000000000000}">
      <formula1>0</formula1>
      <formula2>1</formula2>
    </dataValidation>
    <dataValidation operator="greaterThanOrEqual" sqref="C11:D12" xr:uid="{00000000-0002-0000-0500-000001000000}"/>
    <dataValidation sqref="C13:D13" xr:uid="{00000000-0002-0000-0500-000002000000}"/>
  </dataValidations>
  <hyperlinks>
    <hyperlink ref="B13"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390525</xdr:colOff>
                <xdr:row>70</xdr:row>
                <xdr:rowOff>28575</xdr:rowOff>
              </from>
              <to>
                <xdr:col>12</xdr:col>
                <xdr:colOff>904875</xdr:colOff>
                <xdr:row>87</xdr:row>
                <xdr:rowOff>9525</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657225</xdr:colOff>
                    <xdr:row>9</xdr:row>
                    <xdr:rowOff>200025</xdr:rowOff>
                  </from>
                  <to>
                    <xdr:col>4</xdr:col>
                    <xdr:colOff>0</xdr:colOff>
                    <xdr:row>11</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657225</xdr:colOff>
                    <xdr:row>11</xdr:row>
                    <xdr:rowOff>0</xdr:rowOff>
                  </from>
                  <to>
                    <xdr:col>4</xdr:col>
                    <xdr:colOff>0</xdr:colOff>
                    <xdr:row>12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61"/>
  <sheetViews>
    <sheetView showGridLines="0" topLeftCell="A31" workbookViewId="0">
      <selection activeCell="G46" sqref="G46"/>
    </sheetView>
  </sheetViews>
  <sheetFormatPr baseColWidth="10" defaultRowHeight="12.75" x14ac:dyDescent="0.2"/>
  <cols>
    <col min="1" max="1" width="2.140625" customWidth="1"/>
    <col min="2" max="2" width="16.140625" customWidth="1"/>
    <col min="3" max="4" width="13.5703125" customWidth="1"/>
  </cols>
  <sheetData>
    <row r="2" spans="3:8" x14ac:dyDescent="0.2">
      <c r="C2" s="632" t="s">
        <v>178</v>
      </c>
      <c r="D2" s="632"/>
    </row>
    <row r="3" spans="3:8" x14ac:dyDescent="0.2">
      <c r="C3" s="632"/>
      <c r="D3" s="632"/>
    </row>
    <row r="5" spans="3:8" x14ac:dyDescent="0.2">
      <c r="C5" s="13" t="str">
        <f>IF(Lang="Français","Stabilité de fusée à ailerons","Stability of finned rocket")</f>
        <v>Stabilité de fusée à ailerons</v>
      </c>
    </row>
    <row r="6" spans="3:8" x14ac:dyDescent="0.2">
      <c r="C6" s="2" t="str">
        <f>IF(Lang="Français","Calculs de Stabilité basés sur les équations de Barrowman","Stability calculs are based on Barrowman equations")</f>
        <v>Calculs de Stabilité basés sur les équations de Barrowman</v>
      </c>
    </row>
    <row r="7" spans="3:8" x14ac:dyDescent="0.2">
      <c r="C7" s="13" t="str">
        <f>IF(Lang="Français","Trajectographie de fusée","Rocket Trajectography")</f>
        <v>Trajectographie de fusée</v>
      </c>
    </row>
    <row r="8" spans="3:8" x14ac:dyDescent="0.2">
      <c r="C8" s="2" t="str">
        <f>IF(Lang="Français","Trajectoire dans un plan par calcul pas à pas","Trajectory in a plane, step by step computation")</f>
        <v>Trajectoire dans un plan par calcul pas à pas</v>
      </c>
    </row>
    <row r="9" spans="3:8" x14ac:dyDescent="0.2">
      <c r="C9" s="2"/>
    </row>
    <row r="10" spans="3:8" x14ac:dyDescent="0.2">
      <c r="C10" s="14" t="str">
        <f>IF(Lang="Français","Documentation et équations :","Documentation and equations are aviable in french:")</f>
        <v>Documentation et équations :</v>
      </c>
    </row>
    <row r="11" spans="3:8" x14ac:dyDescent="0.2">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
      <c r="C12" t="str">
        <f>IF(Lang="Français","Néanmoins, les équations d'intégration du mouvement utilisées sont légèrement différentes !","")</f>
        <v>Néanmoins, les équations d'intégration du mouvement utilisées sont légèrement différentes !</v>
      </c>
    </row>
    <row r="13" spans="3:8" x14ac:dyDescent="0.2">
      <c r="C13" t="str">
        <f>IF(Lang="Français","Logiciels et dossier technique téléchargeables sur :","Softwares and french documentation can be downloaded at:")</f>
        <v>Logiciels et dossier technique téléchargeables sur :</v>
      </c>
      <c r="H13" s="15" t="s">
        <v>39</v>
      </c>
    </row>
    <row r="15" spans="3:8" x14ac:dyDescent="0.2">
      <c r="C15" s="14" t="str">
        <f>IF(Lang="Français","Pour les experts :","For experts:")</f>
        <v>Pour les experts :</v>
      </c>
    </row>
    <row r="16" spans="3:8" x14ac:dyDescent="0.2">
      <c r="C16"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
      <c r="C17" t="str">
        <f>IF(Lang="Français","et faire vos modifications personnelles (ajout de moteur...).","and do your personal modification (adding a motor...)")</f>
        <v>et faire vos modifications personnelles (ajout de moteur...).</v>
      </c>
    </row>
    <row r="18" spans="3:8" x14ac:dyDescent="0.2">
      <c r="C18" t="s">
        <v>419</v>
      </c>
    </row>
    <row r="19" spans="3:8" x14ac:dyDescent="0.2">
      <c r="C19"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
      <c r="C20" t="str">
        <f>IF(Lang="Français","Aucune Macro. Mise en forme conditionnelle, Noms de zone.","No macro. Conditionnal formating, named zones.")</f>
        <v>Aucune Macro. Mise en forme conditionnelle, Noms de zone.</v>
      </c>
    </row>
    <row r="21" spans="3:8" x14ac:dyDescent="0.2">
      <c r="C21" s="48"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
      <c r="C22" s="48" t="str">
        <f>IF(Lang="Français","Les unités sont réglés dans le Format de la cellule.","Units are set in cell number Format")</f>
        <v>Les unités sont réglés dans le Format de la cellule.</v>
      </c>
      <c r="H22" s="15" t="s">
        <v>37</v>
      </c>
    </row>
    <row r="23" spans="3:8" x14ac:dyDescent="0.2">
      <c r="C23" t="str">
        <f>IF(Lang="Français","Vous pouvez proposer vos améliorations en envoyant votre fichier à : ","Send all remarks and improvements proposals to:")</f>
        <v xml:space="preserve">Vous pouvez proposer vos améliorations en envoyant votre fichier à : </v>
      </c>
      <c r="H23" s="15"/>
    </row>
    <row r="25" spans="3:8" x14ac:dyDescent="0.2">
      <c r="C25" s="14" t="str">
        <f>IF(Lang="Français","Licence :","License:")</f>
        <v>Licence :</v>
      </c>
      <c r="D25" s="16"/>
    </row>
    <row r="26" spans="3:8" x14ac:dyDescent="0.2">
      <c r="C26" t="str">
        <f>IF(Lang="Français","Ce logiciel est placé sous la licence Creative Commons BY-SA","This software is placed under Creative Commons licence BY-SA")</f>
        <v>Ce logiciel est placé sous la licence Creative Commons BY-SA</v>
      </c>
      <c r="H26" s="68" t="s">
        <v>122</v>
      </c>
    </row>
    <row r="28" spans="3:8" x14ac:dyDescent="0.2">
      <c r="C28" s="14" t="str">
        <f>IF(Lang="Français","Compatibilité :","Compatibility:")</f>
        <v>Compatibilité :</v>
      </c>
    </row>
    <row r="29" spans="3:8" x14ac:dyDescent="0.2">
      <c r="C29" t="s">
        <v>152</v>
      </c>
    </row>
    <row r="30" spans="3:8" x14ac:dyDescent="0.2">
      <c r="C30" t="s">
        <v>301</v>
      </c>
    </row>
    <row r="31" spans="3:8" x14ac:dyDescent="0.2">
      <c r="C31" s="49" t="s">
        <v>110</v>
      </c>
    </row>
    <row r="33" spans="3:6" x14ac:dyDescent="0.2">
      <c r="C33" s="14" t="str">
        <f>IF(Lang="Français","Historique :","History:")</f>
        <v>Historique :</v>
      </c>
    </row>
    <row r="34" spans="3:6" x14ac:dyDescent="0.2">
      <c r="C34" t="s">
        <v>102</v>
      </c>
      <c r="D34" t="s">
        <v>42</v>
      </c>
      <c r="E34" s="47" t="s">
        <v>101</v>
      </c>
      <c r="F34" t="str">
        <f>IF(Lang="Français","Essais personnels, héritage d'une feuille de calcul de Vincent Girard, ESO","Personnel tests")</f>
        <v>Essais personnels, héritage d'une feuille de calcul de Vincent Girard, ESO</v>
      </c>
    </row>
    <row r="35" spans="3:6" x14ac:dyDescent="0.2">
      <c r="C35" t="s">
        <v>103</v>
      </c>
      <c r="D35" t="s">
        <v>42</v>
      </c>
      <c r="E35" s="16">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
      <c r="C36" t="s">
        <v>104</v>
      </c>
      <c r="D36" t="s">
        <v>42</v>
      </c>
      <c r="E36" s="16">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
      <c r="C37" t="s">
        <v>105</v>
      </c>
      <c r="D37" t="s">
        <v>42</v>
      </c>
      <c r="E37" s="16">
        <v>39694</v>
      </c>
      <c r="F37" t="str">
        <f>IF(Lang="Français","Mise en forme","Formatting")</f>
        <v>Mise en forme</v>
      </c>
    </row>
    <row r="38" spans="3:6" x14ac:dyDescent="0.2">
      <c r="C38" t="s">
        <v>106</v>
      </c>
      <c r="D38" t="s">
        <v>42</v>
      </c>
      <c r="E38" s="16">
        <v>39643</v>
      </c>
      <c r="F38" t="str">
        <f>IF(Lang="Français","Essais personnels, héritage d'une feuille de calcul de Félicien Roux, ESO","Personal tests")</f>
        <v>Essais personnels, héritage d'une feuille de calcul de Félicien Roux, ESO</v>
      </c>
    </row>
    <row r="39" spans="3:6" x14ac:dyDescent="0.2">
      <c r="C39" t="s">
        <v>107</v>
      </c>
      <c r="D39" t="s">
        <v>42</v>
      </c>
      <c r="E39" s="16">
        <v>39755</v>
      </c>
      <c r="F39" t="str">
        <f>IF(Lang="Français","Réécriture équations, traduction, érgonomie","Equations, traduction, ergonomy")</f>
        <v>Réécriture équations, traduction, érgonomie</v>
      </c>
    </row>
    <row r="40" spans="3:6" x14ac:dyDescent="0.2">
      <c r="C40" t="s">
        <v>108</v>
      </c>
      <c r="D40" t="s">
        <v>42</v>
      </c>
      <c r="E40" s="16">
        <v>39756</v>
      </c>
      <c r="F40" t="str">
        <f>IF(Lang="Français","Conditions Initiales pour vol 2e étage, 1ère publication","Initial Conditions, 1st publication")</f>
        <v>Conditions Initiales pour vol 2e étage, 1ère publication</v>
      </c>
    </row>
    <row r="41" spans="3:6" x14ac:dyDescent="0.2">
      <c r="C41" t="s">
        <v>109</v>
      </c>
      <c r="D41" t="s">
        <v>42</v>
      </c>
      <c r="E41" s="16">
        <v>40658</v>
      </c>
      <c r="F41" t="s">
        <v>52</v>
      </c>
    </row>
    <row r="42" spans="3:6" x14ac:dyDescent="0.2">
      <c r="C42" t="s">
        <v>179</v>
      </c>
      <c r="D42" t="s">
        <v>42</v>
      </c>
      <c r="E42" s="16">
        <v>40868</v>
      </c>
      <c r="F42" t="str">
        <f>IF(Lang="Français","Fusion Stabilito+Trajecto, mise en forme, Ctrl, RC, H2O, Abaco","Merge Stabilito+Trajecto, formatting, Ctrl, RC, H2O, Abaco")</f>
        <v>Fusion Stabilito+Trajecto, mise en forme, Ctrl, RC, H2O, Abaco</v>
      </c>
    </row>
    <row r="43" spans="3:6" x14ac:dyDescent="0.2">
      <c r="C43" t="s">
        <v>327</v>
      </c>
      <c r="D43" t="s">
        <v>42</v>
      </c>
      <c r="E43" s="16">
        <v>41194</v>
      </c>
      <c r="F43" t="s">
        <v>331</v>
      </c>
    </row>
    <row r="44" spans="3:6" x14ac:dyDescent="0.2">
      <c r="C44" t="s">
        <v>328</v>
      </c>
      <c r="D44" t="s">
        <v>42</v>
      </c>
      <c r="E44" s="16">
        <v>41329</v>
      </c>
      <c r="F44" t="s">
        <v>332</v>
      </c>
    </row>
    <row r="45" spans="3:6" x14ac:dyDescent="0.2">
      <c r="C45" t="s">
        <v>416</v>
      </c>
      <c r="D45" t="s">
        <v>395</v>
      </c>
      <c r="E45" s="16">
        <v>41947</v>
      </c>
      <c r="F45" t="s">
        <v>415</v>
      </c>
    </row>
    <row r="46" spans="3:6" x14ac:dyDescent="0.2">
      <c r="C46" t="s">
        <v>420</v>
      </c>
      <c r="D46" t="s">
        <v>395</v>
      </c>
      <c r="E46" s="16">
        <v>41965</v>
      </c>
      <c r="F46" t="s">
        <v>418</v>
      </c>
    </row>
    <row r="47" spans="3:6" x14ac:dyDescent="0.2">
      <c r="C47" t="s">
        <v>542</v>
      </c>
      <c r="D47" t="s">
        <v>395</v>
      </c>
      <c r="E47" s="16">
        <v>43048</v>
      </c>
      <c r="F47" t="s">
        <v>543</v>
      </c>
    </row>
    <row r="48" spans="3:6" x14ac:dyDescent="0.2">
      <c r="C48" t="s">
        <v>546</v>
      </c>
      <c r="D48" t="s">
        <v>395</v>
      </c>
      <c r="E48" s="16">
        <v>44160</v>
      </c>
      <c r="F48" t="s">
        <v>547</v>
      </c>
    </row>
    <row r="49" spans="3:6" x14ac:dyDescent="0.2">
      <c r="C49" t="s">
        <v>555</v>
      </c>
      <c r="D49" t="s">
        <v>553</v>
      </c>
      <c r="E49" s="16">
        <v>45300</v>
      </c>
      <c r="F49" t="s">
        <v>554</v>
      </c>
    </row>
    <row r="50" spans="3:6" x14ac:dyDescent="0.2">
      <c r="C50" t="s">
        <v>557</v>
      </c>
      <c r="D50" t="s">
        <v>395</v>
      </c>
      <c r="E50" s="16">
        <v>45322</v>
      </c>
      <c r="F50" t="s">
        <v>562</v>
      </c>
    </row>
    <row r="51" spans="3:6" x14ac:dyDescent="0.2">
      <c r="C51" t="s">
        <v>566</v>
      </c>
      <c r="D51" t="s">
        <v>395</v>
      </c>
      <c r="E51" s="16">
        <v>45325</v>
      </c>
      <c r="F51" t="s">
        <v>565</v>
      </c>
    </row>
    <row r="52" spans="3:6" x14ac:dyDescent="0.2">
      <c r="E52" s="16"/>
    </row>
    <row r="53" spans="3:6" x14ac:dyDescent="0.2">
      <c r="C53" s="14" t="str">
        <f>IF(Lang="Français","Paramètres de référence :","Reference parameters:")</f>
        <v>Paramètres de référence :</v>
      </c>
    </row>
    <row r="54" spans="3:6" x14ac:dyDescent="0.2">
      <c r="C54" s="62" t="str">
        <f>IF(Lang="Français","Gravité g :","Gravity g")</f>
        <v>Gravité g :</v>
      </c>
      <c r="E54" s="62">
        <v>9.81</v>
      </c>
      <c r="F54" s="62" t="s">
        <v>7</v>
      </c>
    </row>
    <row r="55" spans="3:6" x14ac:dyDescent="0.2">
      <c r="C55" s="62" t="str">
        <f>IF(Lang="Français","Masse volumique de l'air ρ :","Air density ρ")</f>
        <v>Masse volumique de l'air ρ :</v>
      </c>
      <c r="E55" s="63">
        <v>1.2250000000000001</v>
      </c>
      <c r="F55" s="62" t="s">
        <v>8</v>
      </c>
    </row>
    <row r="56" spans="3:6" x14ac:dyDescent="0.2">
      <c r="C56" s="48"/>
    </row>
    <row r="57" spans="3:6" x14ac:dyDescent="0.2">
      <c r="C57" s="48"/>
    </row>
    <row r="58" spans="3:6" x14ac:dyDescent="0.2">
      <c r="C58" s="48"/>
    </row>
    <row r="59" spans="3:6" x14ac:dyDescent="0.2">
      <c r="C59" s="48"/>
    </row>
    <row r="60" spans="3:6" x14ac:dyDescent="0.2">
      <c r="C60" s="48"/>
    </row>
    <row r="61" spans="3:6" x14ac:dyDescent="0.2">
      <c r="C61" s="48"/>
    </row>
  </sheetData>
  <sheetProtection algorithmName="SHA-512" hashValue="dcP9v4DQ6JuvC6eLIBXnlatxcJ77hQrkAMZATd7/biqbQNTpo5JLWb/f1rwPyt3T541dwFzTLWfTsEIfUWsRvA==" saltValue="abKm4XUCT8zC5fp4rZeuTQ==" spinCount="100000"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zoomScaleNormal="100" workbookViewId="0">
      <selection activeCell="L39" sqref="L39"/>
    </sheetView>
  </sheetViews>
  <sheetFormatPr baseColWidth="10" defaultColWidth="11.5703125" defaultRowHeight="12.75" x14ac:dyDescent="0.2"/>
  <cols>
    <col min="1" max="2" width="2.140625" customWidth="1"/>
    <col min="3" max="3" width="12.5703125" customWidth="1"/>
    <col min="4" max="4" width="21" customWidth="1"/>
    <col min="7" max="7" width="26.5703125" customWidth="1"/>
    <col min="8" max="9" width="6.85546875" customWidth="1"/>
    <col min="10" max="10" width="10" customWidth="1"/>
    <col min="11" max="11" width="13" customWidth="1"/>
    <col min="12" max="12" width="21.140625" customWidth="1"/>
    <col min="14" max="14" width="2.140625" customWidth="1"/>
    <col min="18" max="19" width="16.140625" customWidth="1"/>
  </cols>
  <sheetData>
    <row r="1" spans="2:21" ht="13.5" thickBot="1" x14ac:dyDescent="0.25">
      <c r="O1" s="6"/>
      <c r="P1" s="48"/>
      <c r="Q1" s="48"/>
      <c r="R1" s="48"/>
      <c r="S1" s="48"/>
      <c r="T1" s="48"/>
      <c r="U1" s="48"/>
    </row>
    <row r="2" spans="2:21" ht="13.5" thickBot="1" x14ac:dyDescent="0.25">
      <c r="B2" s="71"/>
      <c r="C2" s="72"/>
      <c r="D2" s="72"/>
      <c r="E2" s="72"/>
      <c r="F2" s="72"/>
      <c r="G2" s="72"/>
      <c r="H2" s="72"/>
      <c r="I2" s="72"/>
      <c r="J2" s="72"/>
      <c r="K2" s="72"/>
      <c r="L2" s="72"/>
      <c r="M2" s="72"/>
      <c r="N2" s="73"/>
      <c r="O2" s="6"/>
      <c r="P2" s="48"/>
      <c r="Q2" s="48"/>
      <c r="R2" s="48"/>
      <c r="S2" s="48"/>
      <c r="T2" s="48"/>
      <c r="U2" s="48"/>
    </row>
    <row r="3" spans="2:21" ht="15.75" customHeight="1" thickBot="1" x14ac:dyDescent="0.25">
      <c r="B3" s="74"/>
      <c r="D3" s="2" t="s">
        <v>429</v>
      </c>
      <c r="N3" s="75"/>
      <c r="O3" s="6"/>
      <c r="P3" s="273" t="s">
        <v>340</v>
      </c>
      <c r="Q3" s="441">
        <f>Long_ogive</f>
        <v>252</v>
      </c>
      <c r="R3" s="48"/>
      <c r="S3" s="48"/>
      <c r="T3" s="48"/>
      <c r="U3" s="48"/>
    </row>
    <row r="4" spans="2:21" ht="15.75" customHeight="1" x14ac:dyDescent="0.2">
      <c r="B4" s="74"/>
      <c r="D4" s="2" t="s">
        <v>564</v>
      </c>
      <c r="E4" t="str">
        <f>Matricule</f>
        <v>FX0</v>
      </c>
      <c r="N4" s="75"/>
      <c r="O4" s="6"/>
      <c r="P4" s="273"/>
      <c r="Q4" s="436"/>
      <c r="R4" s="48"/>
      <c r="S4" s="48"/>
      <c r="T4" s="48"/>
      <c r="U4" s="48"/>
    </row>
    <row r="5" spans="2:21" ht="15.75" customHeight="1" x14ac:dyDescent="0.2">
      <c r="B5" s="74"/>
      <c r="D5" t="s">
        <v>462</v>
      </c>
      <c r="E5" t="str">
        <f>Propu</f>
        <v>Pro54-5G WT</v>
      </c>
      <c r="G5" t="s">
        <v>459</v>
      </c>
      <c r="H5">
        <f>MasseSans</f>
        <v>7.327</v>
      </c>
      <c r="N5" s="75"/>
      <c r="O5" s="6"/>
      <c r="P5" s="273"/>
      <c r="Q5" s="436"/>
      <c r="R5" s="48"/>
      <c r="S5" s="48"/>
      <c r="T5" s="48"/>
      <c r="U5" s="48"/>
    </row>
    <row r="6" spans="2:21" x14ac:dyDescent="0.2">
      <c r="B6" s="74"/>
      <c r="D6" t="s">
        <v>455</v>
      </c>
      <c r="E6" s="2" t="str">
        <f>Trajecto!H34</f>
        <v>Brun/Orange…</v>
      </c>
      <c r="G6" t="s">
        <v>460</v>
      </c>
      <c r="H6">
        <f>D_ref</f>
        <v>99</v>
      </c>
      <c r="N6" s="75"/>
      <c r="O6" s="6"/>
      <c r="P6" s="273"/>
      <c r="Q6" s="436"/>
      <c r="R6" s="48"/>
      <c r="S6" s="48"/>
      <c r="T6" s="48"/>
      <c r="U6" s="48"/>
    </row>
    <row r="7" spans="2:21" x14ac:dyDescent="0.2">
      <c r="B7" s="74"/>
      <c r="D7" t="s">
        <v>457</v>
      </c>
      <c r="E7" s="2" t="str">
        <f>Trajecto!H35</f>
        <v>Rouge…</v>
      </c>
      <c r="G7" t="s">
        <v>5</v>
      </c>
      <c r="H7">
        <f>Cx</f>
        <v>0.7</v>
      </c>
      <c r="N7" s="75"/>
      <c r="O7" s="6"/>
      <c r="P7" s="273"/>
      <c r="Q7" s="436"/>
      <c r="R7" s="48"/>
      <c r="S7" s="48"/>
      <c r="T7" s="48"/>
      <c r="U7" s="48"/>
    </row>
    <row r="8" spans="2:21" x14ac:dyDescent="0.2">
      <c r="B8" s="74"/>
      <c r="D8" t="s">
        <v>458</v>
      </c>
      <c r="E8" s="2">
        <f>S_para</f>
        <v>0.48049999999999998</v>
      </c>
      <c r="G8" t="s">
        <v>461</v>
      </c>
      <c r="H8">
        <f>L_rampe</f>
        <v>4</v>
      </c>
      <c r="N8" s="75"/>
      <c r="O8" s="6"/>
      <c r="P8" s="273"/>
      <c r="Q8" s="436"/>
      <c r="R8" s="48"/>
      <c r="S8" s="48"/>
      <c r="T8" s="48"/>
      <c r="U8" s="48"/>
    </row>
    <row r="9" spans="2:21" x14ac:dyDescent="0.2">
      <c r="B9" s="74"/>
      <c r="D9" t="s">
        <v>456</v>
      </c>
      <c r="E9" s="2"/>
      <c r="G9" t="s">
        <v>146</v>
      </c>
      <c r="H9" s="532" t="str">
        <f>Forme_ogive</f>
        <v>Conique (droite)</v>
      </c>
      <c r="N9" s="75"/>
      <c r="O9" s="6"/>
      <c r="P9" s="273"/>
      <c r="Q9" s="436"/>
      <c r="R9" s="48"/>
      <c r="S9" s="48"/>
      <c r="T9" s="48"/>
      <c r="U9" s="48"/>
    </row>
    <row r="10" spans="2:21" x14ac:dyDescent="0.2">
      <c r="B10" s="74"/>
      <c r="F10" s="3"/>
      <c r="G10" s="6"/>
      <c r="N10" s="75"/>
      <c r="O10" s="521"/>
      <c r="P10" s="48"/>
      <c r="Q10" s="436"/>
      <c r="R10" s="48"/>
      <c r="S10" s="48"/>
      <c r="T10" s="48"/>
      <c r="U10" s="48"/>
    </row>
    <row r="11" spans="2:21" ht="13.5" thickBot="1" x14ac:dyDescent="0.25">
      <c r="B11" s="74"/>
      <c r="C11" s="12"/>
      <c r="D11" s="275" t="s">
        <v>454</v>
      </c>
      <c r="E11" s="243">
        <f>MasseSans</f>
        <v>7.327</v>
      </c>
      <c r="F11" s="246" t="s">
        <v>123</v>
      </c>
      <c r="G11" s="246" t="s">
        <v>125</v>
      </c>
      <c r="H11" s="668">
        <f ca="1">Vsortie_de_rampe</f>
        <v>32.345304715177136</v>
      </c>
      <c r="I11" s="669"/>
      <c r="J11" s="76"/>
      <c r="N11" s="75"/>
      <c r="P11" s="48"/>
      <c r="Q11" s="436"/>
      <c r="R11" s="48"/>
      <c r="S11" s="48"/>
      <c r="T11" s="48"/>
      <c r="U11" s="440">
        <f>IF(RIGHT(Nb_diam,1)=",", "", X_j)</f>
        <v>942</v>
      </c>
    </row>
    <row r="12" spans="2:21" ht="13.5" thickBot="1" x14ac:dyDescent="0.25">
      <c r="B12" s="74"/>
      <c r="C12" s="12"/>
      <c r="D12" s="276"/>
      <c r="E12" s="244"/>
      <c r="F12" s="6" t="s">
        <v>123</v>
      </c>
      <c r="G12" s="6" t="s">
        <v>126</v>
      </c>
      <c r="H12" s="670">
        <f>Finesse</f>
        <v>20.727272727272727</v>
      </c>
      <c r="I12" s="671"/>
      <c r="J12" s="76"/>
      <c r="N12" s="75"/>
      <c r="O12" s="6"/>
      <c r="P12" s="273" t="s">
        <v>341</v>
      </c>
      <c r="Q12" s="441">
        <f>D_og</f>
        <v>84</v>
      </c>
      <c r="R12" s="48"/>
      <c r="S12" s="48"/>
      <c r="T12" s="48"/>
      <c r="U12" s="436"/>
    </row>
    <row r="13" spans="2:21" x14ac:dyDescent="0.2">
      <c r="B13" s="74"/>
      <c r="C13" s="12"/>
      <c r="D13" s="276" t="s">
        <v>5</v>
      </c>
      <c r="E13" s="244">
        <f>Cx</f>
        <v>0.7</v>
      </c>
      <c r="F13" s="6" t="s">
        <v>123</v>
      </c>
      <c r="G13" s="6" t="s">
        <v>433</v>
      </c>
      <c r="H13" s="670">
        <f>Cn</f>
        <v>22.595376756695227</v>
      </c>
      <c r="I13" s="671"/>
      <c r="J13" s="76"/>
      <c r="N13" s="75"/>
      <c r="O13" s="6"/>
      <c r="P13" s="48"/>
      <c r="Q13" s="436"/>
      <c r="R13" s="48"/>
      <c r="S13" s="48"/>
      <c r="T13" s="48"/>
      <c r="U13" s="440">
        <f>IF(RIGHT(Nb_diam,1)=",", "", X_r)</f>
        <v>2002</v>
      </c>
    </row>
    <row r="14" spans="2:21" x14ac:dyDescent="0.2">
      <c r="B14" s="74"/>
      <c r="C14" s="12"/>
      <c r="D14" s="276" t="s">
        <v>143</v>
      </c>
      <c r="E14" s="244">
        <f>L_rampe</f>
        <v>4</v>
      </c>
      <c r="F14" s="6" t="s">
        <v>123</v>
      </c>
      <c r="G14" s="6" t="s">
        <v>127</v>
      </c>
      <c r="H14" s="247">
        <f ca="1">MS_min</f>
        <v>1.2007738955330385</v>
      </c>
      <c r="I14" s="254">
        <f ca="1">MS_max</f>
        <v>2.9947800704380572</v>
      </c>
      <c r="J14" s="76"/>
      <c r="K14" s="76"/>
      <c r="N14" s="75"/>
      <c r="P14" s="48"/>
      <c r="Q14" s="436"/>
      <c r="R14" s="48"/>
      <c r="S14" s="48"/>
      <c r="T14" s="48"/>
      <c r="U14" s="436"/>
    </row>
    <row r="15" spans="2:21" x14ac:dyDescent="0.2">
      <c r="B15" s="74"/>
      <c r="C15" s="12"/>
      <c r="D15" s="276" t="s">
        <v>144</v>
      </c>
      <c r="E15" s="244">
        <f>ep_ail</f>
        <v>3</v>
      </c>
      <c r="F15" s="6" t="s">
        <v>123</v>
      </c>
      <c r="G15" s="6" t="s">
        <v>124</v>
      </c>
      <c r="H15" s="247">
        <f ca="1">MS_Cn_min</f>
        <v>27.131938569173602</v>
      </c>
      <c r="I15" s="254">
        <f ca="1">MS_Cn_max</f>
        <v>81.138426824110212</v>
      </c>
      <c r="J15" s="76"/>
      <c r="K15" s="76"/>
      <c r="N15" s="75"/>
      <c r="P15" s="48"/>
      <c r="Q15" s="436"/>
      <c r="R15" s="48"/>
      <c r="S15" s="48"/>
      <c r="T15" s="48"/>
    </row>
    <row r="16" spans="2:21" x14ac:dyDescent="0.2">
      <c r="B16" s="74"/>
      <c r="C16" s="12"/>
      <c r="D16" s="276" t="s">
        <v>145</v>
      </c>
      <c r="E16" s="244">
        <f>Q_ail</f>
        <v>4</v>
      </c>
      <c r="F16" s="6" t="s">
        <v>128</v>
      </c>
      <c r="G16" s="6" t="s">
        <v>129</v>
      </c>
      <c r="H16" s="247">
        <f ca="1">V_para</f>
        <v>15.249974681685652</v>
      </c>
      <c r="I16" s="253">
        <f>V_satellite</f>
        <v>12.655562623057198</v>
      </c>
      <c r="J16" s="76"/>
      <c r="N16" s="75"/>
      <c r="P16" s="48"/>
      <c r="Q16" s="436"/>
      <c r="R16" s="48"/>
      <c r="S16" s="48"/>
      <c r="T16" s="48"/>
      <c r="U16" s="440">
        <f>IF(RIGHT(Nb_diam,1)=",", "", l_j)</f>
        <v>60</v>
      </c>
    </row>
    <row r="17" spans="2:21" x14ac:dyDescent="0.2">
      <c r="B17" s="74"/>
      <c r="C17" s="12"/>
      <c r="D17" s="276" t="s">
        <v>146</v>
      </c>
      <c r="E17" s="272" t="str">
        <f>Forme_ogive</f>
        <v>Conique (droite)</v>
      </c>
      <c r="F17" s="6" t="s">
        <v>130</v>
      </c>
      <c r="G17" s="6" t="s">
        <v>131</v>
      </c>
      <c r="H17" s="670">
        <f>T_para</f>
        <v>15.6</v>
      </c>
      <c r="I17" s="671"/>
      <c r="J17" s="258"/>
      <c r="N17" s="75"/>
      <c r="P17" s="434" t="s">
        <v>342</v>
      </c>
      <c r="Q17" s="440">
        <f>IF(RIGHT(Nb_diam,1)=",", "", D2j)</f>
        <v>104</v>
      </c>
      <c r="R17" s="48"/>
      <c r="S17" s="48"/>
      <c r="T17" s="48"/>
      <c r="U17" s="436"/>
    </row>
    <row r="18" spans="2:21" x14ac:dyDescent="0.2">
      <c r="B18" s="74"/>
      <c r="C18" s="12"/>
      <c r="D18" s="276" t="s">
        <v>148</v>
      </c>
      <c r="E18" s="244">
        <f ca="1">XpropuRef-Long_propu</f>
        <v>1564</v>
      </c>
      <c r="F18" s="12" t="s">
        <v>130</v>
      </c>
      <c r="G18" s="12" t="s">
        <v>427</v>
      </c>
      <c r="H18" s="635">
        <f ca="1">T_para-Combustion-Depotage</f>
        <v>15.6</v>
      </c>
      <c r="I18" s="674"/>
      <c r="N18" s="75"/>
      <c r="P18" s="48"/>
      <c r="Q18" s="436"/>
      <c r="R18" s="48"/>
      <c r="S18" s="48"/>
    </row>
    <row r="19" spans="2:21" x14ac:dyDescent="0.2">
      <c r="B19" s="74"/>
      <c r="C19" s="531"/>
      <c r="D19" s="269"/>
      <c r="E19" s="271"/>
      <c r="F19" s="519" t="s">
        <v>132</v>
      </c>
      <c r="G19" s="274" t="s">
        <v>426</v>
      </c>
      <c r="H19" s="675">
        <f ca="1">Portee_balistique</f>
        <v>755.70453742140728</v>
      </c>
      <c r="I19" s="676"/>
      <c r="N19" s="75"/>
      <c r="P19" s="48"/>
      <c r="Q19" s="436"/>
      <c r="R19" s="48"/>
      <c r="S19" s="48"/>
      <c r="T19" s="48"/>
    </row>
    <row r="20" spans="2:21" x14ac:dyDescent="0.2">
      <c r="B20" s="74"/>
      <c r="C20" s="12"/>
      <c r="D20" s="6"/>
      <c r="E20" s="6"/>
      <c r="H20" s="518"/>
      <c r="I20" s="518"/>
      <c r="N20" s="75"/>
      <c r="P20" s="48"/>
      <c r="Q20" s="436"/>
      <c r="R20" s="48"/>
      <c r="S20" s="48"/>
      <c r="T20" s="48"/>
      <c r="U20" s="440">
        <f>IF(RIGHT(Nb_diam,1)=",", "", l_r)</f>
        <v>40</v>
      </c>
    </row>
    <row r="21" spans="2:21" x14ac:dyDescent="0.2">
      <c r="B21" s="74"/>
      <c r="C21" s="12"/>
      <c r="D21" s="6"/>
      <c r="E21" s="263"/>
      <c r="F21" s="3"/>
      <c r="G21" s="6"/>
      <c r="H21" s="518"/>
      <c r="I21" s="518"/>
      <c r="N21" s="75"/>
      <c r="O21" s="273"/>
      <c r="P21" s="436"/>
      <c r="Q21" s="48"/>
      <c r="R21" s="48"/>
      <c r="S21" s="48"/>
      <c r="T21" s="226"/>
      <c r="U21" s="436"/>
    </row>
    <row r="22" spans="2:21" x14ac:dyDescent="0.2">
      <c r="B22" s="74"/>
      <c r="C22" s="526" t="s">
        <v>453</v>
      </c>
      <c r="D22" s="526" t="s">
        <v>437</v>
      </c>
      <c r="E22" s="527"/>
      <c r="F22" s="528" t="s">
        <v>442</v>
      </c>
      <c r="G22" s="526" t="s">
        <v>447</v>
      </c>
      <c r="I22" s="529"/>
      <c r="J22" s="530" t="s">
        <v>156</v>
      </c>
      <c r="K22" s="526" t="s">
        <v>157</v>
      </c>
      <c r="N22" s="75"/>
      <c r="O22" s="273"/>
      <c r="P22" s="436"/>
      <c r="Q22" s="48"/>
      <c r="R22" s="48"/>
      <c r="S22" s="48"/>
      <c r="T22" s="226"/>
      <c r="U22" s="436"/>
    </row>
    <row r="23" spans="2:21" x14ac:dyDescent="0.2">
      <c r="B23" s="74"/>
      <c r="C23" s="526" t="s">
        <v>452</v>
      </c>
      <c r="D23" s="527">
        <f>XcgSans</f>
        <v>1040</v>
      </c>
      <c r="E23" s="527" t="s">
        <v>38</v>
      </c>
      <c r="F23" s="528">
        <f>m_ail</f>
        <v>190</v>
      </c>
      <c r="G23" s="526">
        <f>m_can</f>
        <v>170</v>
      </c>
      <c r="I23" s="529" t="s">
        <v>448</v>
      </c>
      <c r="J23" s="528">
        <f>l_j</f>
        <v>60</v>
      </c>
      <c r="K23" s="526">
        <f>l_r</f>
        <v>40</v>
      </c>
      <c r="N23" s="75"/>
      <c r="O23" s="273"/>
      <c r="P23" s="436"/>
      <c r="Q23" s="48"/>
      <c r="R23" s="48"/>
      <c r="S23" s="48"/>
      <c r="T23" s="226"/>
      <c r="U23" s="436"/>
    </row>
    <row r="24" spans="2:21" x14ac:dyDescent="0.2">
      <c r="B24" s="74"/>
      <c r="C24" s="526" t="s">
        <v>440</v>
      </c>
      <c r="D24" s="526">
        <f>Long_tot</f>
        <v>2052</v>
      </c>
      <c r="E24" s="527" t="s">
        <v>443</v>
      </c>
      <c r="F24" s="528">
        <f>n_ail</f>
        <v>80</v>
      </c>
      <c r="G24" s="526">
        <f>n_can</f>
        <v>80</v>
      </c>
      <c r="I24" s="529" t="s">
        <v>449</v>
      </c>
      <c r="J24" s="528">
        <f>D1j</f>
        <v>84</v>
      </c>
      <c r="K24" s="526">
        <f>D1r</f>
        <v>104</v>
      </c>
      <c r="N24" s="75"/>
      <c r="O24" s="273"/>
      <c r="P24" s="436"/>
      <c r="Q24" s="48"/>
      <c r="R24" s="48"/>
      <c r="S24" s="48"/>
      <c r="T24" s="226"/>
      <c r="U24" s="436"/>
    </row>
    <row r="25" spans="2:21" x14ac:dyDescent="0.2">
      <c r="B25" s="74"/>
      <c r="C25" s="526" t="s">
        <v>441</v>
      </c>
      <c r="D25" s="526">
        <f>XpropuRef</f>
        <v>2052</v>
      </c>
      <c r="E25" s="527" t="s">
        <v>444</v>
      </c>
      <c r="F25" s="528">
        <f>p_ail</f>
        <v>180</v>
      </c>
      <c r="G25" s="526">
        <f>p_can</f>
        <v>120</v>
      </c>
      <c r="I25" s="529" t="s">
        <v>450</v>
      </c>
      <c r="J25" s="528">
        <f>D2j</f>
        <v>104</v>
      </c>
      <c r="K25" s="526">
        <f>D2r</f>
        <v>84</v>
      </c>
      <c r="N25" s="75"/>
      <c r="O25" s="273"/>
      <c r="P25" s="436"/>
      <c r="Q25" s="48"/>
      <c r="R25" s="48"/>
      <c r="S25" s="48"/>
      <c r="T25" s="226"/>
      <c r="U25" s="436"/>
    </row>
    <row r="26" spans="2:21" x14ac:dyDescent="0.2">
      <c r="B26" s="74"/>
      <c r="C26" s="526" t="s">
        <v>438</v>
      </c>
      <c r="D26" s="526">
        <f>D_ref</f>
        <v>99</v>
      </c>
      <c r="E26" s="527" t="s">
        <v>445</v>
      </c>
      <c r="F26" s="528">
        <f>E_ail</f>
        <v>145</v>
      </c>
      <c r="G26" s="526">
        <f>E_can</f>
        <v>107</v>
      </c>
      <c r="I26" s="529" t="s">
        <v>451</v>
      </c>
      <c r="J26" s="528">
        <f>X_j</f>
        <v>942</v>
      </c>
      <c r="K26" s="526">
        <f>X_r</f>
        <v>2002</v>
      </c>
      <c r="N26" s="75"/>
      <c r="O26" s="273"/>
      <c r="P26" s="436"/>
      <c r="Q26" s="48"/>
      <c r="R26" s="48"/>
      <c r="S26" s="48"/>
      <c r="T26" s="226"/>
      <c r="U26" s="436"/>
    </row>
    <row r="27" spans="2:21" x14ac:dyDescent="0.2">
      <c r="B27" s="74"/>
      <c r="C27" s="526" t="s">
        <v>439</v>
      </c>
      <c r="D27" s="526">
        <f>Long_ogive</f>
        <v>252</v>
      </c>
      <c r="E27" s="527" t="s">
        <v>446</v>
      </c>
      <c r="F27" s="528">
        <f>X_ail</f>
        <v>1972</v>
      </c>
      <c r="G27" s="526">
        <f>X_can</f>
        <v>942</v>
      </c>
      <c r="H27" s="518"/>
      <c r="I27" s="3"/>
      <c r="J27" s="2"/>
      <c r="N27" s="75"/>
      <c r="O27" s="273"/>
      <c r="P27" s="436"/>
      <c r="Q27" s="48"/>
      <c r="R27" s="48"/>
      <c r="S27" s="48"/>
      <c r="T27" s="226"/>
      <c r="U27" s="436"/>
    </row>
    <row r="28" spans="2:21" ht="13.5" thickBot="1" x14ac:dyDescent="0.25">
      <c r="B28" s="74"/>
      <c r="E28" s="95"/>
      <c r="N28" s="75"/>
      <c r="O28" s="2"/>
      <c r="P28" s="6"/>
      <c r="Q28" s="2"/>
      <c r="R28" s="48"/>
      <c r="S28" s="48"/>
      <c r="T28" s="48"/>
      <c r="U28" s="436"/>
    </row>
    <row r="29" spans="2:21" ht="13.5" thickBot="1" x14ac:dyDescent="0.25">
      <c r="B29" s="74"/>
      <c r="C29" s="673" t="s">
        <v>141</v>
      </c>
      <c r="D29" s="673" t="s">
        <v>133</v>
      </c>
      <c r="E29" s="673" t="s">
        <v>134</v>
      </c>
      <c r="F29" s="673"/>
      <c r="G29" s="673"/>
      <c r="H29" s="672" t="s">
        <v>135</v>
      </c>
      <c r="I29" s="672"/>
      <c r="J29" s="672"/>
      <c r="K29" s="672"/>
      <c r="L29" s="673" t="s">
        <v>136</v>
      </c>
      <c r="M29" s="673" t="s">
        <v>137</v>
      </c>
      <c r="N29" s="75"/>
      <c r="O29" s="273" t="s">
        <v>430</v>
      </c>
      <c r="P29" s="441">
        <f>n_ail</f>
        <v>80</v>
      </c>
      <c r="Q29" s="2"/>
      <c r="R29" s="48"/>
      <c r="S29" s="48"/>
      <c r="T29" s="48"/>
      <c r="U29" s="12" t="s">
        <v>434</v>
      </c>
    </row>
    <row r="30" spans="2:21" ht="13.5" thickBot="1" x14ac:dyDescent="0.25">
      <c r="B30" s="74"/>
      <c r="C30" s="673"/>
      <c r="D30" s="673"/>
      <c r="E30" s="673"/>
      <c r="F30" s="673"/>
      <c r="G30" s="673"/>
      <c r="H30" s="672" t="s">
        <v>138</v>
      </c>
      <c r="I30" s="672"/>
      <c r="J30" s="69" t="s">
        <v>139</v>
      </c>
      <c r="K30" s="70" t="s">
        <v>140</v>
      </c>
      <c r="L30" s="673"/>
      <c r="M30" s="673"/>
      <c r="N30" s="75"/>
      <c r="P30" s="12"/>
      <c r="R30" s="48"/>
      <c r="S30" s="48"/>
      <c r="T30" s="226" t="s">
        <v>432</v>
      </c>
      <c r="U30" s="523">
        <f>[0]!p_can</f>
        <v>120</v>
      </c>
    </row>
    <row r="31" spans="2:21" ht="13.5" thickBot="1" x14ac:dyDescent="0.25">
      <c r="B31" s="74"/>
      <c r="C31" s="83">
        <f>Beta_rampe</f>
        <v>80</v>
      </c>
      <c r="D31" s="84">
        <f ca="1">Portee_balistique</f>
        <v>755.70453742140728</v>
      </c>
      <c r="E31" s="677">
        <f ca="1">T_para+Dt_para</f>
        <v>101.62551686045946</v>
      </c>
      <c r="F31" s="677"/>
      <c r="G31" s="677"/>
      <c r="H31" s="678">
        <f ca="1">Altitude_culmi</f>
        <v>1311.9887558152445</v>
      </c>
      <c r="I31" s="678"/>
      <c r="J31" s="85">
        <f ca="1">Temps_culmi</f>
        <v>15.399999999999963</v>
      </c>
      <c r="K31" s="86">
        <f ca="1">Vit_culmi</f>
        <v>22.983048421418513</v>
      </c>
      <c r="L31" s="84">
        <f ca="1">Acc_max</f>
        <v>141.97325984625601</v>
      </c>
      <c r="M31" s="86">
        <f ca="1">Vit_max</f>
        <v>206.43268487323053</v>
      </c>
      <c r="N31" s="75"/>
      <c r="O31" s="273" t="s">
        <v>436</v>
      </c>
      <c r="P31" s="441">
        <f>ep_ail</f>
        <v>3</v>
      </c>
      <c r="Q31" s="2"/>
      <c r="R31" s="48"/>
      <c r="S31" s="48"/>
      <c r="T31" s="226" t="s">
        <v>344</v>
      </c>
      <c r="U31" s="523">
        <f>[0]!m_can</f>
        <v>170</v>
      </c>
    </row>
    <row r="32" spans="2:21" ht="13.5" thickBot="1" x14ac:dyDescent="0.25">
      <c r="B32" s="74"/>
      <c r="C32" s="520"/>
      <c r="D32" s="242"/>
      <c r="E32" s="247"/>
      <c r="F32" s="247"/>
      <c r="G32" s="247"/>
      <c r="H32" s="283"/>
      <c r="I32" s="283"/>
      <c r="J32" s="247"/>
      <c r="K32" s="248"/>
      <c r="L32" s="242"/>
      <c r="M32" s="248"/>
      <c r="N32" s="75"/>
      <c r="O32" s="273" t="s">
        <v>435</v>
      </c>
      <c r="P32" s="522">
        <f>Q_ail</f>
        <v>4</v>
      </c>
      <c r="Q32" s="2"/>
      <c r="R32" s="48"/>
      <c r="S32" s="48"/>
      <c r="T32" s="226" t="s">
        <v>430</v>
      </c>
      <c r="U32" s="523">
        <f>[0]!n_can</f>
        <v>80</v>
      </c>
    </row>
    <row r="33" spans="2:21" ht="13.5" thickBot="1" x14ac:dyDescent="0.25">
      <c r="B33" s="74"/>
      <c r="D33" s="80"/>
      <c r="E33" s="81"/>
      <c r="F33" s="81"/>
      <c r="G33" s="81"/>
      <c r="H33" s="82"/>
      <c r="I33" s="82"/>
      <c r="J33" s="81"/>
      <c r="K33" s="76"/>
      <c r="L33" s="80"/>
      <c r="M33" s="76"/>
      <c r="N33" s="75"/>
      <c r="O33" s="2"/>
      <c r="Q33" s="2"/>
      <c r="R33" s="48"/>
      <c r="S33" s="48"/>
      <c r="T33" s="226" t="s">
        <v>431</v>
      </c>
      <c r="U33" s="523">
        <f>[0]!E_can</f>
        <v>107</v>
      </c>
    </row>
    <row r="34" spans="2:21" ht="13.5" thickBot="1" x14ac:dyDescent="0.25">
      <c r="B34" s="77"/>
      <c r="C34" s="78"/>
      <c r="D34" s="78"/>
      <c r="E34" s="78"/>
      <c r="F34" s="78"/>
      <c r="G34" s="78"/>
      <c r="H34" s="78"/>
      <c r="I34" s="78"/>
      <c r="J34" s="78"/>
      <c r="K34" s="78"/>
      <c r="L34" s="78"/>
      <c r="M34" s="78"/>
      <c r="N34" s="79"/>
      <c r="O34" s="2"/>
      <c r="P34" s="273" t="s">
        <v>431</v>
      </c>
      <c r="Q34" s="441">
        <f>E_ail</f>
        <v>145</v>
      </c>
      <c r="T34" s="226" t="s">
        <v>436</v>
      </c>
      <c r="U34" s="523">
        <f>[0]!ep_can</f>
        <v>3</v>
      </c>
    </row>
    <row r="35" spans="2:21" x14ac:dyDescent="0.2">
      <c r="O35" s="2"/>
      <c r="P35" s="6"/>
      <c r="Q35" s="6"/>
      <c r="T35" s="226" t="s">
        <v>435</v>
      </c>
      <c r="U35" s="523">
        <f>[0]!Q_can</f>
        <v>4</v>
      </c>
    </row>
    <row r="36" spans="2:21" ht="13.5" thickBot="1" x14ac:dyDescent="0.25">
      <c r="T36" s="2"/>
      <c r="U36" s="12"/>
    </row>
    <row r="37" spans="2:21" x14ac:dyDescent="0.2">
      <c r="B37" s="71"/>
      <c r="C37" s="72"/>
      <c r="D37" s="72"/>
      <c r="E37" s="72"/>
      <c r="F37" s="72"/>
      <c r="G37" s="72"/>
      <c r="H37" s="72"/>
      <c r="I37" s="72"/>
      <c r="J37" s="72"/>
      <c r="K37" s="72"/>
      <c r="L37" s="72"/>
      <c r="M37" s="72"/>
      <c r="N37" s="73"/>
      <c r="T37" s="2"/>
    </row>
    <row r="38" spans="2:21" x14ac:dyDescent="0.2">
      <c r="B38" s="74"/>
      <c r="D38" s="2" t="s">
        <v>195</v>
      </c>
      <c r="H38" s="273" t="s">
        <v>563</v>
      </c>
      <c r="I38" t="str">
        <f>Matricule</f>
        <v>FX0</v>
      </c>
      <c r="N38" s="75"/>
    </row>
    <row r="39" spans="2:21" x14ac:dyDescent="0.2">
      <c r="B39" s="74"/>
      <c r="D39" s="2"/>
      <c r="N39" s="75"/>
    </row>
    <row r="40" spans="2:21" x14ac:dyDescent="0.2">
      <c r="B40" s="74"/>
      <c r="D40" s="275" t="s">
        <v>149</v>
      </c>
      <c r="E40" s="246">
        <f>D_ref</f>
        <v>99</v>
      </c>
      <c r="F40" s="265"/>
      <c r="G40" s="265"/>
      <c r="H40" s="261" t="s">
        <v>198</v>
      </c>
      <c r="I40" s="261" t="s">
        <v>199</v>
      </c>
      <c r="J40" s="262" t="s">
        <v>200</v>
      </c>
      <c r="N40" s="75"/>
    </row>
    <row r="41" spans="2:21" x14ac:dyDescent="0.2">
      <c r="B41" s="74"/>
      <c r="D41" s="276" t="s">
        <v>147</v>
      </c>
      <c r="E41" s="6">
        <f>Long_ogive</f>
        <v>252</v>
      </c>
      <c r="F41" s="2"/>
      <c r="G41" s="2" t="s">
        <v>201</v>
      </c>
      <c r="H41" s="6">
        <f>MasseSans</f>
        <v>7.327</v>
      </c>
      <c r="I41" s="6">
        <f ca="1">MasseVide</f>
        <v>7.9770000000000003</v>
      </c>
      <c r="J41" s="244">
        <f ca="1">MassePlein</f>
        <v>8.9589999999999996</v>
      </c>
      <c r="N41" s="75"/>
    </row>
    <row r="42" spans="2:21" x14ac:dyDescent="0.2">
      <c r="B42" s="74"/>
      <c r="D42" s="276" t="s">
        <v>150</v>
      </c>
      <c r="E42" s="6">
        <f>X_ail-m_ail</f>
        <v>1782</v>
      </c>
      <c r="F42" s="255"/>
      <c r="G42" s="255" t="s">
        <v>218</v>
      </c>
      <c r="H42" s="263">
        <f>XcgSans</f>
        <v>1040</v>
      </c>
      <c r="I42" s="263">
        <f ca="1">XcgVide</f>
        <v>1102.253980193055</v>
      </c>
      <c r="J42" s="245">
        <f ca="1">XcgPlein</f>
        <v>1180.9943074003795</v>
      </c>
      <c r="N42" s="75"/>
    </row>
    <row r="43" spans="2:21" x14ac:dyDescent="0.2">
      <c r="B43" s="74"/>
      <c r="D43" s="276" t="str">
        <f>IF(Lang="Français","Emplanture 'm'",IF(Lang="English","Root edge  'm'",""))</f>
        <v>Emplanture 'm'</v>
      </c>
      <c r="E43" s="244">
        <f>m_ail</f>
        <v>190</v>
      </c>
      <c r="N43" s="75"/>
    </row>
    <row r="44" spans="2:21" x14ac:dyDescent="0.2">
      <c r="B44" s="74"/>
      <c r="D44" s="276" t="str">
        <f>IF(Lang="Français","Saumon      'n'",IF(Lang="English","Tip edge    'n'",""))</f>
        <v>Saumon      'n'</v>
      </c>
      <c r="E44" s="244">
        <f>n_ail</f>
        <v>80</v>
      </c>
      <c r="F44" s="246" t="s">
        <v>202</v>
      </c>
      <c r="G44" s="246" t="s">
        <v>207</v>
      </c>
      <c r="H44" s="668">
        <f ca="1">Vsortie_de_rampe</f>
        <v>32.345304715177136</v>
      </c>
      <c r="I44" s="669"/>
      <c r="N44" s="75"/>
    </row>
    <row r="45" spans="2:21" x14ac:dyDescent="0.2">
      <c r="B45" s="74"/>
      <c r="D45" s="276" t="str">
        <f>IF(Lang="Français","Flèche        'p'",IF(Lang="English","Offset         'p'",""))</f>
        <v>Flèche        'p'</v>
      </c>
      <c r="E45" s="244">
        <f>p_ail</f>
        <v>180</v>
      </c>
      <c r="F45" s="6" t="s">
        <v>203</v>
      </c>
      <c r="G45" s="6" t="s">
        <v>208</v>
      </c>
      <c r="H45" s="670">
        <f>Finesse</f>
        <v>20.727272727272727</v>
      </c>
      <c r="I45" s="671"/>
      <c r="N45" s="75"/>
    </row>
    <row r="46" spans="2:21" x14ac:dyDescent="0.2">
      <c r="B46" s="74"/>
      <c r="D46" s="276" t="str">
        <f>IF(Lang="Français","Envergure   'E'",IF(Lang="English","Span          'E'",""))</f>
        <v>Envergure   'E'</v>
      </c>
      <c r="E46" s="244">
        <f>E_ail</f>
        <v>145</v>
      </c>
      <c r="F46" s="6" t="s">
        <v>204</v>
      </c>
      <c r="G46" s="6" t="s">
        <v>209</v>
      </c>
      <c r="H46" s="670">
        <f>Cn</f>
        <v>22.595376756695227</v>
      </c>
      <c r="I46" s="671"/>
      <c r="N46" s="75"/>
    </row>
    <row r="47" spans="2:21" x14ac:dyDescent="0.2">
      <c r="B47" s="74"/>
      <c r="D47" s="276" t="s">
        <v>144</v>
      </c>
      <c r="E47" s="244">
        <f>ep_ail</f>
        <v>3</v>
      </c>
      <c r="F47" s="6" t="s">
        <v>205</v>
      </c>
      <c r="G47" s="6" t="s">
        <v>210</v>
      </c>
      <c r="H47" s="247">
        <f ca="1">MS_min</f>
        <v>1.2007738955330385</v>
      </c>
      <c r="I47" s="254">
        <f ca="1">MS_max</f>
        <v>2.9947800704380572</v>
      </c>
      <c r="N47" s="75"/>
    </row>
    <row r="48" spans="2:21" x14ac:dyDescent="0.2">
      <c r="B48" s="74"/>
      <c r="D48" s="276" t="s">
        <v>145</v>
      </c>
      <c r="E48" s="244">
        <f>Q_ail</f>
        <v>4</v>
      </c>
      <c r="F48" s="274" t="s">
        <v>206</v>
      </c>
      <c r="G48" s="274" t="s">
        <v>211</v>
      </c>
      <c r="H48" s="256">
        <f ca="1">MS_Cn_min</f>
        <v>27.131938569173602</v>
      </c>
      <c r="I48" s="264">
        <f ca="1">MS_Cn_max</f>
        <v>81.138426824110212</v>
      </c>
      <c r="N48" s="75"/>
    </row>
    <row r="49" spans="2:14" x14ac:dyDescent="0.2">
      <c r="B49" s="74"/>
      <c r="D49" s="276" t="s">
        <v>148</v>
      </c>
      <c r="E49" s="244">
        <f ca="1">XpropuRef-Long_propu</f>
        <v>1564</v>
      </c>
      <c r="N49" s="75"/>
    </row>
    <row r="50" spans="2:14" x14ac:dyDescent="0.2">
      <c r="B50" s="74"/>
      <c r="D50" s="276" t="s">
        <v>146</v>
      </c>
      <c r="E50" s="272" t="str">
        <f>Forme_ogive</f>
        <v>Conique (droite)</v>
      </c>
      <c r="F50" s="273" t="s">
        <v>183</v>
      </c>
      <c r="G50" s="275" t="s">
        <v>5</v>
      </c>
      <c r="H50" s="246">
        <f>Cx</f>
        <v>0.7</v>
      </c>
      <c r="I50" s="265"/>
      <c r="J50" s="266"/>
      <c r="N50" s="75"/>
    </row>
    <row r="51" spans="2:14" x14ac:dyDescent="0.2">
      <c r="B51" s="74"/>
      <c r="D51" s="276" t="s">
        <v>142</v>
      </c>
      <c r="E51" s="244">
        <f>Long_tot</f>
        <v>2052</v>
      </c>
      <c r="G51" s="276" t="s">
        <v>212</v>
      </c>
      <c r="H51" s="6">
        <f>Sref</f>
        <v>9.4376873994583919E-3</v>
      </c>
      <c r="J51" s="267"/>
      <c r="N51" s="75"/>
    </row>
    <row r="52" spans="2:14" x14ac:dyDescent="0.2">
      <c r="B52" s="74"/>
      <c r="D52" s="276" t="s">
        <v>196</v>
      </c>
      <c r="E52" s="244">
        <f>MAX(D_ref,D_ail,D_og,(RIGHT(Nb_diam,1)=",")*MAX(D1j,D1r,D2j,D2r))</f>
        <v>104</v>
      </c>
      <c r="G52" s="276" t="s">
        <v>213</v>
      </c>
      <c r="H52" s="6">
        <f>Beta_rampe</f>
        <v>80</v>
      </c>
      <c r="I52" s="6">
        <v>80</v>
      </c>
      <c r="J52" s="244">
        <v>90</v>
      </c>
      <c r="N52" s="75"/>
    </row>
    <row r="53" spans="2:14" x14ac:dyDescent="0.2">
      <c r="B53" s="74"/>
      <c r="D53" s="277" t="s">
        <v>197</v>
      </c>
      <c r="E53" s="260">
        <f>E_ail*2+D_ail</f>
        <v>394</v>
      </c>
      <c r="G53" s="278" t="s">
        <v>215</v>
      </c>
      <c r="H53" s="247">
        <f ca="1">Temps_culmi</f>
        <v>15.399999999999963</v>
      </c>
      <c r="I53" s="259"/>
      <c r="J53" s="268"/>
      <c r="N53" s="75"/>
    </row>
    <row r="54" spans="2:14" x14ac:dyDescent="0.2">
      <c r="B54" s="74"/>
      <c r="G54" s="278" t="s">
        <v>216</v>
      </c>
      <c r="H54" s="242">
        <f ca="1">Altitude_culmi</f>
        <v>1311.9887558152445</v>
      </c>
      <c r="I54" s="259"/>
      <c r="J54" s="268"/>
      <c r="N54" s="75"/>
    </row>
    <row r="55" spans="2:14" x14ac:dyDescent="0.2">
      <c r="B55" s="74"/>
      <c r="C55" s="275" t="s">
        <v>233</v>
      </c>
      <c r="D55" s="249" t="s">
        <v>60</v>
      </c>
      <c r="E55" s="243">
        <f>Long_tot</f>
        <v>2052</v>
      </c>
      <c r="G55" s="278" t="s">
        <v>217</v>
      </c>
      <c r="H55" s="248">
        <f ca="1">Vit_culmi</f>
        <v>22.983048421418513</v>
      </c>
      <c r="I55" s="259"/>
      <c r="J55" s="268"/>
      <c r="N55" s="75"/>
    </row>
    <row r="56" spans="2:14" x14ac:dyDescent="0.2">
      <c r="B56" s="74"/>
      <c r="C56" s="276"/>
      <c r="D56" s="2" t="s">
        <v>219</v>
      </c>
      <c r="E56" s="244">
        <f>MAX(D_ref,D_ail,D_og,(RIGHT(Nb_diam,1)=",")*MAX(D1j,D1r,D2j,D2r))</f>
        <v>104</v>
      </c>
      <c r="G56" s="278" t="s">
        <v>133</v>
      </c>
      <c r="H56" s="242">
        <f ca="1">Portee_balistique</f>
        <v>755.70453742140728</v>
      </c>
      <c r="I56" s="259"/>
      <c r="J56" s="268"/>
      <c r="N56" s="75"/>
    </row>
    <row r="57" spans="2:14" x14ac:dyDescent="0.2">
      <c r="B57" s="74"/>
      <c r="C57" s="276"/>
      <c r="D57" s="2" t="s">
        <v>220</v>
      </c>
      <c r="E57" s="244">
        <f>E_ail*2+D_ail</f>
        <v>394</v>
      </c>
      <c r="G57" s="278" t="s">
        <v>214</v>
      </c>
      <c r="H57" s="242">
        <f ca="1">T_balistique</f>
        <v>33.600000000000207</v>
      </c>
      <c r="I57" s="259"/>
      <c r="J57" s="268"/>
      <c r="N57" s="75"/>
    </row>
    <row r="58" spans="2:14" x14ac:dyDescent="0.2">
      <c r="B58" s="74"/>
      <c r="C58" s="276"/>
      <c r="D58" s="2" t="s">
        <v>221</v>
      </c>
      <c r="E58" s="244">
        <f ca="1">MassePlein</f>
        <v>8.9589999999999996</v>
      </c>
      <c r="G58" s="278" t="s">
        <v>137</v>
      </c>
      <c r="H58" s="248">
        <f ca="1">Vit_max</f>
        <v>206.43268487323053</v>
      </c>
      <c r="I58" s="259"/>
      <c r="J58" s="268"/>
      <c r="N58" s="75"/>
    </row>
    <row r="59" spans="2:14" x14ac:dyDescent="0.2">
      <c r="B59" s="74"/>
      <c r="C59" s="277" t="s">
        <v>234</v>
      </c>
      <c r="D59" s="255" t="s">
        <v>145</v>
      </c>
      <c r="E59" s="260">
        <f>Q_ail</f>
        <v>4</v>
      </c>
      <c r="G59" s="278" t="s">
        <v>136</v>
      </c>
      <c r="H59" s="242">
        <f ca="1">Acc_max</f>
        <v>141.97325984625601</v>
      </c>
      <c r="I59" s="259"/>
      <c r="J59" s="268"/>
      <c r="N59" s="75"/>
    </row>
    <row r="60" spans="2:14" x14ac:dyDescent="0.2">
      <c r="B60" s="74"/>
      <c r="C60" s="12"/>
      <c r="G60" s="269" t="s">
        <v>222</v>
      </c>
      <c r="H60" s="270"/>
      <c r="I60" s="270"/>
      <c r="J60" s="271"/>
      <c r="N60" s="75"/>
    </row>
    <row r="61" spans="2:14" x14ac:dyDescent="0.2">
      <c r="B61" s="74"/>
      <c r="C61" s="275"/>
      <c r="D61" s="249"/>
      <c r="E61" s="246" t="s">
        <v>226</v>
      </c>
      <c r="F61" s="243" t="s">
        <v>227</v>
      </c>
      <c r="G61" s="2"/>
      <c r="H61" s="2"/>
      <c r="I61" s="2"/>
      <c r="J61" s="2"/>
      <c r="K61" s="2"/>
      <c r="N61" s="75"/>
    </row>
    <row r="62" spans="2:14" x14ac:dyDescent="0.2">
      <c r="B62" s="74"/>
      <c r="C62" s="276" t="s">
        <v>235</v>
      </c>
      <c r="D62" s="2" t="s">
        <v>225</v>
      </c>
      <c r="E62" s="242">
        <f ca="1">2*Acc_max*MassePlein</f>
        <v>2543.876869925215</v>
      </c>
      <c r="F62" s="280">
        <f ca="1">E62/9.81</f>
        <v>259.3146656396753</v>
      </c>
      <c r="H62" s="2"/>
      <c r="I62" s="2"/>
      <c r="J62" s="2"/>
      <c r="K62" s="2"/>
      <c r="N62" s="75"/>
    </row>
    <row r="63" spans="2:14" x14ac:dyDescent="0.2">
      <c r="B63" s="74"/>
      <c r="C63" s="276"/>
      <c r="D63" s="2" t="s">
        <v>223</v>
      </c>
      <c r="E63" s="242">
        <f ca="1">2*Acc_max*Masse_ail</f>
        <v>33.349518737885539</v>
      </c>
      <c r="F63" s="248">
        <f ca="1">E63/9.81</f>
        <v>3.3995431944837451</v>
      </c>
      <c r="G63" s="246" t="s">
        <v>229</v>
      </c>
      <c r="H63" s="288">
        <f>S_ail*(ep_ail/1000)*2000</f>
        <v>0.11745</v>
      </c>
      <c r="I63" s="2"/>
      <c r="J63" s="2"/>
      <c r="K63" s="2"/>
      <c r="N63" s="75"/>
    </row>
    <row r="64" spans="2:14" x14ac:dyDescent="0.2">
      <c r="B64" s="74"/>
      <c r="C64" s="277"/>
      <c r="D64" s="255" t="s">
        <v>224</v>
      </c>
      <c r="E64" s="263">
        <f ca="1">0.104*S_ail*Vit_max^2</f>
        <v>86.754504199087151</v>
      </c>
      <c r="F64" s="281">
        <f ca="1">E64/9.81</f>
        <v>8.8434764728936948</v>
      </c>
      <c r="G64" s="274" t="s">
        <v>228</v>
      </c>
      <c r="H64" s="289">
        <f>(E_ail*(m_ail+n_ail)/2)/10^6</f>
        <v>1.9574999999999999E-2</v>
      </c>
      <c r="I64" s="2"/>
      <c r="J64" s="2"/>
      <c r="K64" s="2"/>
      <c r="N64" s="75"/>
    </row>
    <row r="65" spans="2:14" x14ac:dyDescent="0.2">
      <c r="B65" s="74"/>
      <c r="C65" s="282" t="s">
        <v>242</v>
      </c>
      <c r="D65" s="285" t="s">
        <v>240</v>
      </c>
      <c r="E65" s="286">
        <f ca="1">2*Acc_max*H65</f>
        <v>1271.9384349626075</v>
      </c>
      <c r="F65" s="286">
        <f ca="1">E65/9.81</f>
        <v>129.65733281983765</v>
      </c>
      <c r="G65" s="287" t="s">
        <v>241</v>
      </c>
      <c r="H65" s="279">
        <f ca="1">E58/2</f>
        <v>4.4794999999999998</v>
      </c>
      <c r="I65" s="2"/>
      <c r="J65" s="2"/>
      <c r="K65" s="2"/>
      <c r="N65" s="75"/>
    </row>
    <row r="66" spans="2:14" x14ac:dyDescent="0.2">
      <c r="B66" s="74"/>
      <c r="C66" s="6"/>
      <c r="D66" s="2"/>
      <c r="E66" s="2"/>
      <c r="F66" s="2"/>
      <c r="G66" s="2"/>
      <c r="H66" s="2"/>
      <c r="I66" s="2"/>
      <c r="J66" s="2"/>
      <c r="K66" s="2"/>
      <c r="N66" s="75"/>
    </row>
    <row r="67" spans="2:14" x14ac:dyDescent="0.2">
      <c r="B67" s="74"/>
      <c r="F67" s="275" t="s">
        <v>232</v>
      </c>
      <c r="G67" s="249" t="s">
        <v>230</v>
      </c>
      <c r="H67" s="250">
        <f>T_para</f>
        <v>15.6</v>
      </c>
      <c r="I67" s="251">
        <f ca="1">Temps_culmi</f>
        <v>15.399999999999963</v>
      </c>
      <c r="J67" s="2"/>
      <c r="K67" s="2"/>
      <c r="N67" s="75"/>
    </row>
    <row r="68" spans="2:14" x14ac:dyDescent="0.2">
      <c r="B68" s="74"/>
      <c r="C68" s="6"/>
      <c r="D68" s="2"/>
      <c r="E68" s="2"/>
      <c r="F68" s="275" t="s">
        <v>231</v>
      </c>
      <c r="G68" s="249" t="s">
        <v>129</v>
      </c>
      <c r="H68" s="250">
        <f ca="1">V_para</f>
        <v>15.249974681685652</v>
      </c>
      <c r="I68" s="251">
        <f>V_satellite</f>
        <v>12.655562623057198</v>
      </c>
      <c r="J68" s="2"/>
      <c r="K68" s="2"/>
      <c r="N68" s="75"/>
    </row>
    <row r="69" spans="2:14" x14ac:dyDescent="0.2">
      <c r="B69" s="74"/>
      <c r="C69" s="6"/>
      <c r="D69" s="2"/>
      <c r="E69" s="2"/>
      <c r="F69" s="276"/>
      <c r="G69" s="2" t="s">
        <v>237</v>
      </c>
      <c r="H69" s="247">
        <f>S_para</f>
        <v>0.48049999999999998</v>
      </c>
      <c r="I69" s="253">
        <f>S_satellite</f>
        <v>0.1</v>
      </c>
      <c r="J69" s="2"/>
      <c r="K69" s="2"/>
      <c r="N69" s="75"/>
    </row>
    <row r="70" spans="2:14" x14ac:dyDescent="0.2">
      <c r="B70" s="74"/>
      <c r="C70" s="226"/>
      <c r="D70" s="2"/>
      <c r="F70" s="276"/>
      <c r="G70" s="2" t="s">
        <v>236</v>
      </c>
      <c r="H70" s="247">
        <f ca="1">V_ouverture</f>
        <v>22.979602555347913</v>
      </c>
      <c r="I70" s="253">
        <f ca="1">V_ouv_sat</f>
        <v>165.96393404501717</v>
      </c>
      <c r="N70" s="75"/>
    </row>
    <row r="71" spans="2:14" x14ac:dyDescent="0.2">
      <c r="B71" s="74"/>
      <c r="C71" s="226"/>
      <c r="F71" s="276"/>
      <c r="G71" s="2" t="s">
        <v>201</v>
      </c>
      <c r="H71" s="247">
        <f ca="1">m_vide</f>
        <v>6.9770000000000003</v>
      </c>
      <c r="I71" s="253">
        <f>m_satellite</f>
        <v>1</v>
      </c>
      <c r="N71" s="75"/>
    </row>
    <row r="72" spans="2:14" x14ac:dyDescent="0.2">
      <c r="B72" s="74"/>
      <c r="C72" s="226"/>
      <c r="F72" s="276"/>
      <c r="G72" s="2" t="s">
        <v>238</v>
      </c>
      <c r="H72" s="283">
        <f ca="1">1/2*Rho_moyen*S_para*V_ouverture^2</f>
        <v>155.41198630733069</v>
      </c>
      <c r="I72" s="284">
        <f ca="1">1/2*Rho_moyen*S_satellite*V_ouv_sat^2</f>
        <v>1687.0716784765523</v>
      </c>
      <c r="N72" s="75"/>
    </row>
    <row r="73" spans="2:14" x14ac:dyDescent="0.2">
      <c r="B73" s="74"/>
      <c r="D73" s="2"/>
      <c r="F73" s="277"/>
      <c r="G73" s="255" t="s">
        <v>239</v>
      </c>
      <c r="H73" s="256">
        <f ca="1">H72/9.81</f>
        <v>15.842200439075503</v>
      </c>
      <c r="I73" s="257">
        <f ca="1">I72/9.81</f>
        <v>171.97468689873111</v>
      </c>
      <c r="N73" s="75"/>
    </row>
    <row r="74" spans="2:14" ht="13.5" thickBot="1" x14ac:dyDescent="0.25">
      <c r="B74" s="77"/>
      <c r="C74" s="78"/>
      <c r="D74" s="78"/>
      <c r="E74" s="78"/>
      <c r="F74" s="78"/>
      <c r="G74" s="78"/>
      <c r="H74" s="78"/>
      <c r="I74" s="78"/>
      <c r="J74" s="78"/>
      <c r="K74" s="78"/>
      <c r="L74" s="78"/>
      <c r="M74" s="78"/>
      <c r="N74" s="79"/>
    </row>
    <row r="76" spans="2:14" ht="13.5" thickBot="1" x14ac:dyDescent="0.25"/>
    <row r="77" spans="2:14" x14ac:dyDescent="0.2">
      <c r="B77" s="71"/>
      <c r="C77" s="72"/>
      <c r="D77" s="72"/>
      <c r="E77" s="72"/>
      <c r="F77" s="72"/>
      <c r="G77" s="72"/>
      <c r="H77" s="72"/>
      <c r="I77" s="72"/>
      <c r="J77" s="72"/>
      <c r="K77" s="72"/>
      <c r="L77" s="72"/>
      <c r="M77" s="72"/>
      <c r="N77" s="73"/>
    </row>
    <row r="78" spans="2:14" x14ac:dyDescent="0.2">
      <c r="B78" s="74"/>
      <c r="D78" s="2" t="s">
        <v>333</v>
      </c>
      <c r="N78" s="75"/>
    </row>
    <row r="79" spans="2:14" ht="12.75" customHeight="1" x14ac:dyDescent="0.25">
      <c r="B79" s="74"/>
      <c r="E79" s="48"/>
      <c r="F79" s="48"/>
      <c r="G79" s="435" t="s">
        <v>339</v>
      </c>
      <c r="I79" s="448"/>
      <c r="J79" s="48"/>
      <c r="K79" s="48"/>
      <c r="N79" s="75"/>
    </row>
    <row r="80" spans="2:14" x14ac:dyDescent="0.2">
      <c r="B80" s="74"/>
      <c r="C80" s="275" t="s">
        <v>334</v>
      </c>
      <c r="D80" s="243" t="str">
        <f>Nom</f>
        <v>SP02</v>
      </c>
      <c r="E80" s="48"/>
      <c r="F80" s="48"/>
      <c r="G80" s="48"/>
      <c r="H80" s="48"/>
      <c r="I80" s="48"/>
      <c r="J80" s="48"/>
      <c r="K80" s="48"/>
      <c r="N80" s="75"/>
    </row>
    <row r="81" spans="2:14" ht="13.5" thickBot="1" x14ac:dyDescent="0.25">
      <c r="B81" s="74"/>
      <c r="C81" s="276" t="s">
        <v>4</v>
      </c>
      <c r="D81" s="244" t="str">
        <f>Club</f>
        <v>L'AéroIPSA</v>
      </c>
      <c r="E81" s="48"/>
      <c r="F81" s="48"/>
      <c r="G81" s="48"/>
      <c r="H81" s="48"/>
      <c r="I81" s="48"/>
      <c r="J81" s="48"/>
      <c r="K81" s="48"/>
      <c r="N81" s="75"/>
    </row>
    <row r="82" spans="2:14" ht="13.5" thickBot="1" x14ac:dyDescent="0.25">
      <c r="B82" s="74"/>
      <c r="C82" s="432" t="s">
        <v>335</v>
      </c>
      <c r="D82" s="244" t="s">
        <v>14</v>
      </c>
      <c r="E82" s="273" t="s">
        <v>340</v>
      </c>
      <c r="F82" s="441">
        <f>Long_ogive</f>
        <v>252</v>
      </c>
      <c r="G82" s="48"/>
      <c r="H82" s="48"/>
      <c r="I82" s="48"/>
      <c r="J82" s="48"/>
      <c r="K82" s="48"/>
      <c r="N82" s="75"/>
    </row>
    <row r="83" spans="2:14" x14ac:dyDescent="0.2">
      <c r="B83" s="74"/>
      <c r="C83" s="277" t="s">
        <v>336</v>
      </c>
      <c r="D83" s="433">
        <f ca="1">TODAY()</f>
        <v>45957</v>
      </c>
      <c r="E83" s="48"/>
      <c r="F83" s="436"/>
      <c r="G83" s="48"/>
      <c r="H83" s="48"/>
      <c r="I83" s="48"/>
      <c r="J83" s="48"/>
      <c r="K83" s="48"/>
      <c r="N83" s="75"/>
    </row>
    <row r="84" spans="2:14" ht="13.5" thickBot="1" x14ac:dyDescent="0.25">
      <c r="B84" s="74"/>
      <c r="E84" s="48"/>
      <c r="F84" s="436"/>
      <c r="G84" s="48"/>
      <c r="H84" s="48"/>
      <c r="I84" s="48"/>
      <c r="J84" s="440">
        <f>IF(RIGHT(Nb_diam,1)=",", "", X_j)</f>
        <v>942</v>
      </c>
      <c r="K84" s="48"/>
      <c r="N84" s="75"/>
    </row>
    <row r="85" spans="2:14" ht="13.5" thickBot="1" x14ac:dyDescent="0.25">
      <c r="B85" s="74"/>
      <c r="C85" s="275" t="s">
        <v>337</v>
      </c>
      <c r="D85" s="243" t="str">
        <f>Propu</f>
        <v>Pro54-5G WT</v>
      </c>
      <c r="E85" s="273" t="s">
        <v>341</v>
      </c>
      <c r="F85" s="441">
        <f>D_og</f>
        <v>84</v>
      </c>
      <c r="G85" s="48"/>
      <c r="H85" s="48"/>
      <c r="I85" s="48"/>
      <c r="J85" s="436"/>
      <c r="K85" s="48"/>
      <c r="N85" s="75"/>
    </row>
    <row r="86" spans="2:14" x14ac:dyDescent="0.2">
      <c r="B86" s="74"/>
      <c r="C86" s="277" t="s">
        <v>338</v>
      </c>
      <c r="D86" s="260" t="s">
        <v>14</v>
      </c>
      <c r="E86" s="48"/>
      <c r="F86" s="436"/>
      <c r="G86" s="48"/>
      <c r="H86" s="48"/>
      <c r="I86" s="48"/>
      <c r="J86" s="440">
        <f>IF(RIGHT(Nb_diam,1)=",", "", X_r)</f>
        <v>2002</v>
      </c>
      <c r="K86" s="48"/>
      <c r="N86" s="75"/>
    </row>
    <row r="87" spans="2:14" x14ac:dyDescent="0.2">
      <c r="B87" s="74"/>
      <c r="E87" s="48"/>
      <c r="F87" s="436"/>
      <c r="G87" s="48"/>
      <c r="H87" s="48"/>
      <c r="I87" s="48"/>
      <c r="J87" s="436"/>
      <c r="K87" s="48"/>
      <c r="N87" s="75"/>
    </row>
    <row r="88" spans="2:14" x14ac:dyDescent="0.2">
      <c r="B88" s="74"/>
      <c r="E88" s="48"/>
      <c r="F88" s="436"/>
      <c r="G88" s="48"/>
      <c r="H88" s="48"/>
      <c r="I88" s="48"/>
      <c r="J88" s="440">
        <f>IF(RIGHT(Nb_diam,1)=",", "", l_j)</f>
        <v>60</v>
      </c>
      <c r="K88" s="48"/>
      <c r="N88" s="75"/>
    </row>
    <row r="89" spans="2:14" ht="13.5" thickBot="1" x14ac:dyDescent="0.25">
      <c r="B89" s="74"/>
      <c r="E89" s="48"/>
      <c r="F89" s="436"/>
      <c r="G89" s="48"/>
      <c r="H89" s="48"/>
      <c r="I89" s="48"/>
      <c r="J89" s="436"/>
      <c r="K89" s="48"/>
      <c r="N89" s="75"/>
    </row>
    <row r="90" spans="2:14" ht="13.5" thickBot="1" x14ac:dyDescent="0.25">
      <c r="B90" s="74"/>
      <c r="E90" s="434" t="s">
        <v>342</v>
      </c>
      <c r="F90" s="440">
        <f>IF(RIGHT(Nb_diam,1)=",", "", D2j)</f>
        <v>104</v>
      </c>
      <c r="G90" s="48"/>
      <c r="H90" s="48"/>
      <c r="I90" s="48"/>
      <c r="J90" s="441">
        <f>X_ail-m_ail</f>
        <v>1782</v>
      </c>
      <c r="K90" s="2"/>
      <c r="N90" s="75"/>
    </row>
    <row r="91" spans="2:14" x14ac:dyDescent="0.2">
      <c r="B91" s="74"/>
      <c r="E91" s="48"/>
      <c r="F91" s="436"/>
      <c r="G91" s="48"/>
      <c r="H91" s="48"/>
      <c r="I91" s="48"/>
      <c r="J91" s="436"/>
      <c r="K91" s="48"/>
      <c r="N91" s="75"/>
    </row>
    <row r="92" spans="2:14" x14ac:dyDescent="0.2">
      <c r="B92" s="74"/>
      <c r="E92" s="48"/>
      <c r="F92" s="436"/>
      <c r="G92" s="48"/>
      <c r="H92" s="48"/>
      <c r="I92" s="48"/>
      <c r="J92" s="440">
        <f>IF(RIGHT(Nb_diam,1)=",", "", l_r)</f>
        <v>40</v>
      </c>
      <c r="K92" s="48"/>
      <c r="N92" s="75"/>
    </row>
    <row r="93" spans="2:14" x14ac:dyDescent="0.2">
      <c r="B93" s="74"/>
      <c r="E93" s="48"/>
      <c r="F93" s="436"/>
      <c r="G93" s="48"/>
      <c r="H93" s="48"/>
      <c r="I93" s="48"/>
      <c r="J93" s="436"/>
      <c r="K93" s="48"/>
      <c r="N93" s="75"/>
    </row>
    <row r="94" spans="2:14" x14ac:dyDescent="0.2">
      <c r="B94" s="74"/>
      <c r="E94" s="434" t="s">
        <v>343</v>
      </c>
      <c r="F94" s="440">
        <f>IF(RIGHT(Nb_diam,1)=",", "", D2r)</f>
        <v>84</v>
      </c>
      <c r="G94" s="48"/>
      <c r="H94" s="48"/>
      <c r="I94" s="48"/>
      <c r="J94" s="436"/>
      <c r="K94" s="48"/>
      <c r="N94" s="75"/>
    </row>
    <row r="95" spans="2:14" x14ac:dyDescent="0.2">
      <c r="B95" s="74"/>
      <c r="E95" s="48"/>
      <c r="F95" s="436"/>
      <c r="G95" s="48"/>
      <c r="H95" s="48"/>
      <c r="I95" s="48"/>
      <c r="J95" s="436"/>
      <c r="K95" s="48"/>
      <c r="N95" s="75"/>
    </row>
    <row r="96" spans="2:14" ht="13.5" thickBot="1" x14ac:dyDescent="0.25">
      <c r="B96" s="74"/>
      <c r="E96" s="48"/>
      <c r="F96" s="436"/>
      <c r="G96" s="48"/>
      <c r="H96" s="48"/>
      <c r="I96" s="48"/>
      <c r="J96" s="436"/>
      <c r="K96" s="48"/>
      <c r="N96" s="75"/>
    </row>
    <row r="97" spans="2:14" ht="13.5" thickBot="1" x14ac:dyDescent="0.25">
      <c r="B97" s="74"/>
      <c r="E97" s="273" t="s">
        <v>344</v>
      </c>
      <c r="F97" s="441">
        <f>m_ail</f>
        <v>190</v>
      </c>
      <c r="G97" s="48"/>
      <c r="H97" s="48"/>
      <c r="I97" s="48"/>
      <c r="J97" s="441">
        <f>p_ail</f>
        <v>180</v>
      </c>
      <c r="K97" s="2"/>
      <c r="N97" s="75"/>
    </row>
    <row r="98" spans="2:14" x14ac:dyDescent="0.2">
      <c r="B98" s="74"/>
      <c r="E98" s="48"/>
      <c r="F98" s="48"/>
      <c r="G98" s="48"/>
      <c r="H98" s="48"/>
      <c r="I98" s="48"/>
      <c r="J98" s="436"/>
      <c r="K98" s="48"/>
      <c r="N98" s="75"/>
    </row>
    <row r="99" spans="2:14" x14ac:dyDescent="0.2">
      <c r="B99" s="74"/>
      <c r="E99" s="48"/>
      <c r="F99" s="48"/>
      <c r="G99" s="48"/>
      <c r="H99" s="48"/>
      <c r="I99" s="48"/>
      <c r="J99" s="436"/>
      <c r="K99" s="48"/>
      <c r="N99" s="75"/>
    </row>
    <row r="100" spans="2:14" ht="13.5" thickBot="1" x14ac:dyDescent="0.25">
      <c r="B100" s="74"/>
      <c r="D100" s="429" t="s">
        <v>346</v>
      </c>
      <c r="E100" s="246">
        <f>Q_ail</f>
        <v>4</v>
      </c>
      <c r="F100" s="430"/>
      <c r="G100" s="48"/>
      <c r="H100" s="48"/>
      <c r="I100" s="48"/>
      <c r="J100" s="436"/>
      <c r="K100" s="48"/>
      <c r="N100" s="75"/>
    </row>
    <row r="101" spans="2:14" ht="13.5" thickBot="1" x14ac:dyDescent="0.25">
      <c r="B101" s="74"/>
      <c r="D101" s="437" t="s">
        <v>350</v>
      </c>
      <c r="E101" s="6">
        <f ca="1">XpropuRef-Long_propu</f>
        <v>1564</v>
      </c>
      <c r="F101" s="252"/>
      <c r="G101" s="48"/>
      <c r="H101" s="48"/>
      <c r="I101" s="48"/>
      <c r="J101" s="441">
        <f>n_ail</f>
        <v>80</v>
      </c>
      <c r="K101" s="2"/>
      <c r="N101" s="75"/>
    </row>
    <row r="102" spans="2:14" x14ac:dyDescent="0.2">
      <c r="B102" s="74"/>
      <c r="D102" s="437" t="s">
        <v>347</v>
      </c>
      <c r="E102" s="6">
        <f>IF(LEFT(Forme_ogive,4)="Ogiv",1,0)</f>
        <v>0</v>
      </c>
      <c r="F102" s="252" t="s">
        <v>348</v>
      </c>
      <c r="G102" s="48"/>
      <c r="H102" s="48"/>
      <c r="I102" s="48"/>
      <c r="J102" s="436"/>
      <c r="K102" s="48"/>
      <c r="N102" s="75"/>
    </row>
    <row r="103" spans="2:14" x14ac:dyDescent="0.2">
      <c r="B103" s="74"/>
      <c r="D103" s="437"/>
      <c r="E103" s="6">
        <f>IF(LEFT(Forme_ogive,3)="Con",1,0)</f>
        <v>1</v>
      </c>
      <c r="F103" s="252" t="s">
        <v>159</v>
      </c>
      <c r="G103" s="48"/>
      <c r="H103" s="48"/>
      <c r="I103" s="48"/>
      <c r="J103" s="436"/>
      <c r="K103" s="48"/>
      <c r="N103" s="75"/>
    </row>
    <row r="104" spans="2:14" ht="13.5" thickBot="1" x14ac:dyDescent="0.25">
      <c r="B104" s="74"/>
      <c r="D104" s="431"/>
      <c r="E104" s="274">
        <f>IF(LEFT(Forme_ogive,5)="Parab",1,0)</f>
        <v>0</v>
      </c>
      <c r="F104" s="289" t="s">
        <v>349</v>
      </c>
      <c r="G104" s="48"/>
      <c r="H104" s="48"/>
      <c r="I104" s="48"/>
      <c r="J104" s="12" t="s">
        <v>345</v>
      </c>
      <c r="K104" s="48"/>
      <c r="N104" s="75"/>
    </row>
    <row r="105" spans="2:14" ht="13.5" thickBot="1" x14ac:dyDescent="0.25">
      <c r="B105" s="74"/>
      <c r="D105" s="2"/>
      <c r="E105" s="2"/>
      <c r="F105" s="2"/>
      <c r="G105" s="273"/>
      <c r="H105" s="441">
        <f>E_ail</f>
        <v>145</v>
      </c>
      <c r="I105" s="273"/>
      <c r="J105" s="441">
        <f>ep_ail</f>
        <v>3</v>
      </c>
      <c r="K105" s="48"/>
      <c r="N105" s="75"/>
    </row>
    <row r="106" spans="2:14" x14ac:dyDescent="0.2">
      <c r="B106" s="74"/>
      <c r="D106" s="429"/>
      <c r="E106" s="246" t="s">
        <v>354</v>
      </c>
      <c r="F106" s="243" t="s">
        <v>353</v>
      </c>
      <c r="N106" s="75"/>
    </row>
    <row r="107" spans="2:14" x14ac:dyDescent="0.2">
      <c r="B107" s="74"/>
      <c r="D107" s="437" t="s">
        <v>351</v>
      </c>
      <c r="E107" s="6">
        <f>MasseSans</f>
        <v>7.327</v>
      </c>
      <c r="F107" s="244">
        <f ca="1">MassePlein</f>
        <v>8.9589999999999996</v>
      </c>
      <c r="N107" s="75"/>
    </row>
    <row r="108" spans="2:14" x14ac:dyDescent="0.2">
      <c r="B108" s="74"/>
      <c r="D108" s="431" t="s">
        <v>352</v>
      </c>
      <c r="E108" s="274">
        <f>XcgSans</f>
        <v>1040</v>
      </c>
      <c r="F108" s="260">
        <f ca="1">XcgPlein</f>
        <v>1180.9943074003795</v>
      </c>
      <c r="N108" s="75"/>
    </row>
    <row r="109" spans="2:14" x14ac:dyDescent="0.2">
      <c r="B109" s="74"/>
      <c r="N109" s="75"/>
    </row>
    <row r="110" spans="2:14" x14ac:dyDescent="0.2">
      <c r="B110" s="74"/>
      <c r="D110" s="438" t="s">
        <v>355</v>
      </c>
      <c r="E110" s="439">
        <f ca="1">MasseVide</f>
        <v>7.9770000000000003</v>
      </c>
      <c r="G110" s="429" t="s">
        <v>356</v>
      </c>
      <c r="H110" s="265"/>
      <c r="I110" s="265"/>
      <c r="J110" s="266"/>
      <c r="N110" s="75"/>
    </row>
    <row r="111" spans="2:14" x14ac:dyDescent="0.2">
      <c r="B111" s="74"/>
      <c r="G111" s="276" t="s">
        <v>213</v>
      </c>
      <c r="H111" s="6">
        <f>Beta_rampe</f>
        <v>80</v>
      </c>
      <c r="I111" s="6">
        <v>80</v>
      </c>
      <c r="J111" s="244">
        <v>90</v>
      </c>
      <c r="N111" s="75"/>
    </row>
    <row r="112" spans="2:14" x14ac:dyDescent="0.2">
      <c r="B112" s="74"/>
      <c r="G112" s="278" t="s">
        <v>215</v>
      </c>
      <c r="H112" s="247">
        <f ca="1">Temps_culmi</f>
        <v>15.399999999999963</v>
      </c>
      <c r="I112" s="259"/>
      <c r="J112" s="268"/>
      <c r="N112" s="75"/>
    </row>
    <row r="113" spans="2:14" ht="12.75" customHeight="1" x14ac:dyDescent="0.25">
      <c r="B113" s="74"/>
      <c r="D113" s="435" t="s">
        <v>357</v>
      </c>
      <c r="E113" s="48"/>
      <c r="G113" s="278" t="s">
        <v>216</v>
      </c>
      <c r="H113" s="242">
        <f ca="1">Altitude_culmi</f>
        <v>1311.9887558152445</v>
      </c>
      <c r="I113" s="259"/>
      <c r="J113" s="268"/>
      <c r="N113" s="75"/>
    </row>
    <row r="114" spans="2:14" ht="12.75" customHeight="1" x14ac:dyDescent="0.25">
      <c r="B114" s="74"/>
      <c r="D114" s="48"/>
      <c r="E114" s="48"/>
      <c r="F114" s="435"/>
      <c r="G114" s="278" t="s">
        <v>217</v>
      </c>
      <c r="H114" s="248">
        <f ca="1">Vit_culmi</f>
        <v>22.983048421418513</v>
      </c>
      <c r="I114" s="259"/>
      <c r="J114" s="268"/>
      <c r="N114" s="75"/>
    </row>
    <row r="115" spans="2:14" x14ac:dyDescent="0.2">
      <c r="B115" s="74"/>
      <c r="C115" s="429" t="s">
        <v>358</v>
      </c>
      <c r="D115" s="249"/>
      <c r="E115" s="446">
        <v>0.1</v>
      </c>
      <c r="G115" s="278" t="s">
        <v>133</v>
      </c>
      <c r="H115" s="242">
        <f ca="1">Portee_balistique</f>
        <v>755.70453742140728</v>
      </c>
      <c r="I115" s="259"/>
      <c r="J115" s="268"/>
      <c r="N115" s="75"/>
    </row>
    <row r="116" spans="2:14" ht="12.75" customHeight="1" x14ac:dyDescent="0.2">
      <c r="B116" s="74"/>
      <c r="C116" s="431" t="s">
        <v>359</v>
      </c>
      <c r="D116" s="255"/>
      <c r="E116" s="447">
        <f>E_ail*(m_ail+n_ail)/2</f>
        <v>19575</v>
      </c>
      <c r="G116" s="278" t="s">
        <v>137</v>
      </c>
      <c r="H116" s="248">
        <f ca="1">Vit_max</f>
        <v>206.43268487323053</v>
      </c>
      <c r="I116" s="259"/>
      <c r="J116" s="268"/>
      <c r="N116" s="75"/>
    </row>
    <row r="117" spans="2:14" ht="12.75" customHeight="1" x14ac:dyDescent="0.2">
      <c r="B117" s="74"/>
      <c r="D117" s="48"/>
      <c r="E117" s="48"/>
      <c r="F117" s="48"/>
      <c r="G117" s="278" t="s">
        <v>136</v>
      </c>
      <c r="H117" s="242">
        <f ca="1">Acc_max</f>
        <v>141.97325984625601</v>
      </c>
      <c r="I117" s="259"/>
      <c r="J117" s="268"/>
      <c r="N117" s="75"/>
    </row>
    <row r="118" spans="2:14" x14ac:dyDescent="0.2">
      <c r="B118" s="74"/>
      <c r="C118" s="429" t="s">
        <v>360</v>
      </c>
      <c r="D118" s="249"/>
      <c r="E118" s="457"/>
      <c r="F118" s="458">
        <f>J90/100</f>
        <v>17.82</v>
      </c>
      <c r="G118" s="276" t="s">
        <v>5</v>
      </c>
      <c r="H118" s="6">
        <f>Cx</f>
        <v>0.7</v>
      </c>
      <c r="I118" s="259"/>
      <c r="J118" s="268"/>
      <c r="N118" s="75"/>
    </row>
    <row r="119" spans="2:14" x14ac:dyDescent="0.2">
      <c r="B119" s="74"/>
      <c r="C119" s="437" t="s">
        <v>361</v>
      </c>
      <c r="D119" s="2"/>
      <c r="E119" s="459">
        <f ca="1">2*Acc_max*MasseSans</f>
        <v>2080.4761497870354</v>
      </c>
      <c r="F119" s="460">
        <f ca="1">E119/g</f>
        <v>212.07707948899443</v>
      </c>
      <c r="G119" s="269" t="s">
        <v>222</v>
      </c>
      <c r="H119" s="270"/>
      <c r="I119" s="270"/>
      <c r="J119" s="271"/>
      <c r="N119" s="75"/>
    </row>
    <row r="120" spans="2:14" x14ac:dyDescent="0.2">
      <c r="B120" s="74"/>
      <c r="C120" s="437" t="s">
        <v>362</v>
      </c>
      <c r="D120" s="2"/>
      <c r="E120" s="459">
        <f ca="1">2*Acc_max*E115</f>
        <v>28.394651969251203</v>
      </c>
      <c r="F120" s="460">
        <f ca="1">E120/g</f>
        <v>2.8944599357034866</v>
      </c>
      <c r="N120" s="75"/>
    </row>
    <row r="121" spans="2:14" x14ac:dyDescent="0.2">
      <c r="B121" s="74"/>
      <c r="C121" s="431" t="s">
        <v>363</v>
      </c>
      <c r="D121" s="255"/>
      <c r="E121" s="452">
        <f ca="1">0.104*E116/1000000*Vit_max^2</f>
        <v>86.754504199087151</v>
      </c>
      <c r="F121" s="453">
        <f ca="1">E121/g</f>
        <v>8.8434764728936948</v>
      </c>
      <c r="G121" s="48"/>
      <c r="H121" s="48"/>
      <c r="I121" s="48"/>
      <c r="J121" s="48"/>
      <c r="N121" s="75"/>
    </row>
    <row r="122" spans="2:14" ht="12.75" customHeight="1" x14ac:dyDescent="0.2">
      <c r="B122" s="74"/>
      <c r="H122" s="48"/>
      <c r="I122" s="48"/>
      <c r="J122" s="48"/>
      <c r="N122" s="75"/>
    </row>
    <row r="123" spans="2:14" ht="12.75" customHeight="1" x14ac:dyDescent="0.25">
      <c r="B123" s="74"/>
      <c r="G123" s="435"/>
      <c r="H123" s="435"/>
      <c r="I123" s="435"/>
      <c r="J123" s="48"/>
      <c r="N123" s="75"/>
    </row>
    <row r="124" spans="2:14" ht="12.75" customHeight="1" x14ac:dyDescent="0.25">
      <c r="B124" s="74"/>
      <c r="C124" s="48"/>
      <c r="D124" s="435" t="s">
        <v>364</v>
      </c>
      <c r="E124" s="448"/>
      <c r="J124" s="48"/>
      <c r="K124" s="48"/>
      <c r="N124" s="75"/>
    </row>
    <row r="125" spans="2:14" x14ac:dyDescent="0.2">
      <c r="B125" s="74"/>
      <c r="C125" s="445" t="s">
        <v>365</v>
      </c>
      <c r="J125" s="48"/>
      <c r="K125" s="48"/>
      <c r="N125" s="75"/>
    </row>
    <row r="126" spans="2:14" x14ac:dyDescent="0.2">
      <c r="B126" s="74"/>
      <c r="C126" s="429" t="s">
        <v>366</v>
      </c>
      <c r="D126" s="249"/>
      <c r="E126" s="449">
        <v>4</v>
      </c>
      <c r="G126" s="48"/>
      <c r="J126" s="48"/>
      <c r="N126" s="75"/>
    </row>
    <row r="127" spans="2:14" x14ac:dyDescent="0.2">
      <c r="B127" s="74"/>
      <c r="C127" s="431" t="s">
        <v>367</v>
      </c>
      <c r="D127" s="255"/>
      <c r="E127" s="456">
        <f>S_para</f>
        <v>0.48049999999999998</v>
      </c>
      <c r="G127" s="48"/>
      <c r="J127" s="48"/>
      <c r="N127" s="75"/>
    </row>
    <row r="128" spans="2:14" x14ac:dyDescent="0.2">
      <c r="B128" s="74"/>
      <c r="C128" s="681" t="s">
        <v>368</v>
      </c>
      <c r="D128" s="682"/>
      <c r="E128" s="450">
        <f ca="1">0.5*Rho_moyen*S_para*Vit_culmi^2</f>
        <v>155.45859886657229</v>
      </c>
      <c r="F128" s="451">
        <f ca="1">E128/g</f>
        <v>15.846951974166389</v>
      </c>
      <c r="H128" s="48"/>
      <c r="I128" s="48"/>
      <c r="J128" s="48"/>
      <c r="K128" s="48"/>
      <c r="N128" s="75"/>
    </row>
    <row r="129" spans="2:14" x14ac:dyDescent="0.2">
      <c r="B129" s="74"/>
      <c r="C129" s="679" t="s">
        <v>369</v>
      </c>
      <c r="D129" s="680"/>
      <c r="E129" s="452">
        <f ca="1">E128/E126*2</f>
        <v>77.729299433286144</v>
      </c>
      <c r="F129" s="453">
        <f ca="1">E129/g</f>
        <v>7.9234759870831946</v>
      </c>
      <c r="H129" s="48"/>
      <c r="I129" s="48"/>
      <c r="J129" s="48"/>
      <c r="K129" s="48"/>
      <c r="N129" s="75"/>
    </row>
    <row r="130" spans="2:14" x14ac:dyDescent="0.2">
      <c r="B130" s="74"/>
      <c r="C130" s="47"/>
      <c r="D130" s="47"/>
      <c r="E130" s="443"/>
      <c r="F130" s="444"/>
      <c r="H130" s="48"/>
      <c r="I130" s="48"/>
      <c r="J130" s="48"/>
      <c r="K130" s="48"/>
      <c r="N130" s="75"/>
    </row>
    <row r="131" spans="2:14" x14ac:dyDescent="0.2">
      <c r="B131" s="74"/>
      <c r="C131" s="445" t="s">
        <v>370</v>
      </c>
      <c r="D131" s="48"/>
      <c r="E131" s="48"/>
      <c r="F131" s="48"/>
      <c r="G131" s="48"/>
      <c r="H131" s="48"/>
      <c r="I131" s="48"/>
      <c r="J131" s="48"/>
      <c r="K131" s="48"/>
      <c r="N131" s="75"/>
    </row>
    <row r="132" spans="2:14" x14ac:dyDescent="0.2">
      <c r="B132" s="74"/>
      <c r="C132" s="681" t="s">
        <v>371</v>
      </c>
      <c r="D132" s="682"/>
      <c r="E132" s="454">
        <v>1</v>
      </c>
      <c r="F132" s="48"/>
      <c r="G132" s="48"/>
      <c r="H132" s="48"/>
      <c r="I132" s="48"/>
      <c r="J132" s="442"/>
      <c r="K132" s="48"/>
      <c r="N132" s="75"/>
    </row>
    <row r="133" spans="2:14" x14ac:dyDescent="0.2">
      <c r="B133" s="74"/>
      <c r="C133" s="679" t="s">
        <v>372</v>
      </c>
      <c r="D133" s="680"/>
      <c r="E133" s="455">
        <f ca="1">2*E132*Acc_max/g</f>
        <v>28.944599357034864</v>
      </c>
      <c r="F133" s="48"/>
      <c r="G133" s="48"/>
      <c r="H133" s="48"/>
      <c r="I133" s="48"/>
      <c r="J133" s="48"/>
      <c r="K133" s="48"/>
      <c r="N133" s="75"/>
    </row>
    <row r="134" spans="2:14" ht="13.5" thickBot="1" x14ac:dyDescent="0.25">
      <c r="B134" s="77"/>
      <c r="C134" s="461"/>
      <c r="D134" s="461"/>
      <c r="E134" s="461"/>
      <c r="F134" s="461"/>
      <c r="G134" s="461"/>
      <c r="H134" s="461"/>
      <c r="I134" s="461"/>
      <c r="J134" s="461"/>
      <c r="K134" s="461"/>
      <c r="L134" s="78"/>
      <c r="M134" s="78"/>
      <c r="N134" s="79"/>
    </row>
  </sheetData>
  <sheetProtection algorithmName="SHA-512" hashValue="hPW55fXgN2sF0rdmrUjeSRNNiQdOIANll77I7z4pOMGhgAMnv3SeC70tlG1ZvqBw5PTm8+/9RK5zYBPb8YMDZQ==" saltValue="649bwDB7J1RR5Eo9ArOefA==" spinCount="100000" sheet="1" objects="1" scenarios="1"/>
  <mergeCells count="22">
    <mergeCell ref="C133:D133"/>
    <mergeCell ref="C128:D128"/>
    <mergeCell ref="C129:D129"/>
    <mergeCell ref="C132:D132"/>
    <mergeCell ref="H44:I44"/>
    <mergeCell ref="H45:I45"/>
    <mergeCell ref="H46:I46"/>
    <mergeCell ref="E31:G31"/>
    <mergeCell ref="M29:M30"/>
    <mergeCell ref="H30:I30"/>
    <mergeCell ref="L29:L30"/>
    <mergeCell ref="H31:I31"/>
    <mergeCell ref="H11:I11"/>
    <mergeCell ref="H12:I12"/>
    <mergeCell ref="H13:I13"/>
    <mergeCell ref="H29:K29"/>
    <mergeCell ref="C29:C30"/>
    <mergeCell ref="D29:D30"/>
    <mergeCell ref="H17:I17"/>
    <mergeCell ref="H18:I18"/>
    <mergeCell ref="H19:I19"/>
    <mergeCell ref="E29:G30"/>
  </mergeCells>
  <phoneticPr fontId="8" type="noConversion"/>
  <conditionalFormatting sqref="D18:E18">
    <cfRule type="expression" dxfId="2" priority="2" stopIfTrue="1">
      <formula>IF(Propu="Cariacou",0,1)</formula>
    </cfRule>
  </conditionalFormatting>
  <conditionalFormatting sqref="F18:I19">
    <cfRule type="expression" dxfId="1" priority="1" stopIfTrue="1">
      <formula>IF(Propu="Cariacou",1,0)</formula>
    </cfRule>
  </conditionalFormatting>
  <conditionalFormatting sqref="I16 I68:I73">
    <cfRule type="expression" dxfId="0" priority="6" stopIfTrue="1">
      <formula>Nb_sat="0 satellite"</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216</vt:i4>
      </vt:variant>
    </vt:vector>
  </HeadingPairs>
  <TitlesOfParts>
    <vt:vector size="224"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Liste_Type_para</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Matricule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Alexis Paillard</cp:lastModifiedBy>
  <cp:lastPrinted>2011-11-08T21:12:34Z</cp:lastPrinted>
  <dcterms:created xsi:type="dcterms:W3CDTF">2008-11-03T20:48:06Z</dcterms:created>
  <dcterms:modified xsi:type="dcterms:W3CDTF">2025-10-27T18:45:28Z</dcterms:modified>
</cp:coreProperties>
</file>